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drawings/drawing2.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drawings/drawing3.xml" ContentType="application/vnd.openxmlformats-officedocument.drawing+xml"/>
  <Override PartName="/xl/tables/table11.xml" ContentType="application/vnd.openxmlformats-officedocument.spreadsheetml.table+xml"/>
  <Override PartName="/xl/drawings/drawing4.xml" ContentType="application/vnd.openxmlformats-officedocument.drawing+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drawings/drawing5.xml" ContentType="application/vnd.openxmlformats-officedocument.drawing+xml"/>
  <Override PartName="/xl/tables/table19.xml" ContentType="application/vnd.openxmlformats-officedocument.spreadsheetml.table+xml"/>
  <Override PartName="/xl/drawings/drawing6.xml" ContentType="application/vnd.openxmlformats-officedocument.drawing+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T:\Offices\Transportation Economics\7. TEB BC Modernization Efforts\Michael's  changes\Perf Metrics Corrections\"/>
    </mc:Choice>
  </mc:AlternateContent>
  <xr:revisionPtr revIDLastSave="0" documentId="13_ncr:1_{D0F88637-28E0-4AE9-935D-FEB95647F9D1}" xr6:coauthVersionLast="47" xr6:coauthVersionMax="47" xr10:uidLastSave="{00000000-0000-0000-0000-000000000000}"/>
  <bookViews>
    <workbookView xWindow="-120" yWindow="-120" windowWidth="25440" windowHeight="15270" tabRatio="856" xr2:uid="{14832E21-A26B-4BBC-B8C2-D419E8AB77F5}"/>
  </bookViews>
  <sheets>
    <sheet name="Instructions" sheetId="17" r:id="rId1"/>
    <sheet name="Performance Metrics" sheetId="9" r:id="rId2"/>
    <sheet name="DVHD" sheetId="1" r:id="rId3"/>
    <sheet name="PHTTS" sheetId="13" r:id="rId4"/>
    <sheet name="Peak Travel Time Reliability" sheetId="14" r:id="rId5"/>
    <sheet name="Level of Transit Delay" sheetId="15" r:id="rId6"/>
    <sheet name="Truck Travel Time Reliability" sheetId="16" r:id="rId7"/>
    <sheet name="Rail Volume" sheetId="3" r:id="rId8"/>
    <sheet name="Rate of Fatalities-Serious Inj" sheetId="10" r:id="rId9"/>
    <sheet name="Air Quality" sheetId="6" r:id="rId10"/>
    <sheet name="Average Annual Volume" sheetId="7" r:id="rId11"/>
    <sheet name="DVMT" sheetId="12" r:id="rId12"/>
    <sheet name="Truck Volume" sheetId="2" r:id="rId13"/>
    <sheet name="# of Fatalities and Serious Inj" sheetId="5" r:id="rId14"/>
    <sheet name="Velocity" sheetId="4" r:id="rId1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3" i="1" l="1"/>
  <c r="I42" i="1"/>
  <c r="I41" i="1"/>
  <c r="I40" i="1"/>
  <c r="I39" i="1"/>
  <c r="I38" i="1"/>
  <c r="I37" i="1"/>
  <c r="I36" i="1"/>
  <c r="M31" i="1"/>
  <c r="M18" i="1"/>
  <c r="F26" i="9"/>
  <c r="F28" i="9"/>
  <c r="J23" i="1" l="1"/>
  <c r="L41" i="10"/>
  <c r="L42" i="10"/>
  <c r="L43" i="10"/>
  <c r="L44" i="10"/>
  <c r="L45" i="10"/>
  <c r="L46" i="10"/>
  <c r="L47" i="10"/>
  <c r="L48" i="10"/>
  <c r="K42" i="10"/>
  <c r="K43" i="10"/>
  <c r="K44" i="10"/>
  <c r="K45" i="10"/>
  <c r="K46" i="10"/>
  <c r="K47" i="10"/>
  <c r="K48" i="10"/>
  <c r="K41" i="10"/>
  <c r="J42" i="10"/>
  <c r="J43" i="10"/>
  <c r="J44" i="10"/>
  <c r="J45" i="10"/>
  <c r="J46" i="10"/>
  <c r="J47" i="10"/>
  <c r="J48" i="10"/>
  <c r="J41" i="10"/>
  <c r="J30" i="10"/>
  <c r="J31" i="10"/>
  <c r="J32" i="10"/>
  <c r="J33" i="10"/>
  <c r="J34" i="10"/>
  <c r="J35" i="10"/>
  <c r="J36" i="10"/>
  <c r="J29" i="10"/>
  <c r="J18" i="10"/>
  <c r="J19" i="10"/>
  <c r="J20" i="10"/>
  <c r="J21" i="10"/>
  <c r="J22" i="10"/>
  <c r="J23" i="10"/>
  <c r="J24" i="10"/>
  <c r="J17" i="10"/>
  <c r="G37" i="4"/>
  <c r="F37" i="4"/>
  <c r="A37" i="4"/>
  <c r="G36" i="4"/>
  <c r="F36" i="4"/>
  <c r="A36" i="4"/>
  <c r="G35" i="4"/>
  <c r="F35" i="4"/>
  <c r="A35" i="4"/>
  <c r="G34" i="4"/>
  <c r="F34" i="4"/>
  <c r="A34" i="4"/>
  <c r="G33" i="4"/>
  <c r="F33" i="4"/>
  <c r="A33" i="4"/>
  <c r="G32" i="4"/>
  <c r="F32" i="4"/>
  <c r="A32" i="4"/>
  <c r="G31" i="4"/>
  <c r="F31" i="4"/>
  <c r="A31" i="4"/>
  <c r="G30" i="4"/>
  <c r="F30" i="4"/>
  <c r="A30" i="4"/>
  <c r="E17" i="4"/>
  <c r="E18" i="4"/>
  <c r="E19" i="4"/>
  <c r="E20" i="4"/>
  <c r="E21" i="4"/>
  <c r="E22" i="4"/>
  <c r="E23" i="4"/>
  <c r="E24" i="4"/>
  <c r="D18" i="4"/>
  <c r="D19" i="4"/>
  <c r="D20" i="4"/>
  <c r="D21" i="4"/>
  <c r="D22" i="4"/>
  <c r="D23" i="4"/>
  <c r="D24" i="4"/>
  <c r="D17" i="4"/>
  <c r="C17" i="4"/>
  <c r="C18" i="4"/>
  <c r="C19" i="4"/>
  <c r="C20" i="4"/>
  <c r="C21" i="4"/>
  <c r="C22" i="4"/>
  <c r="C23" i="4"/>
  <c r="C24" i="4"/>
  <c r="B18" i="4"/>
  <c r="B19" i="4"/>
  <c r="B20" i="4"/>
  <c r="B21" i="4"/>
  <c r="B22" i="4"/>
  <c r="B23" i="4"/>
  <c r="B24" i="4"/>
  <c r="B17" i="4"/>
  <c r="A18" i="4"/>
  <c r="A19" i="4"/>
  <c r="A20" i="4"/>
  <c r="A21" i="4"/>
  <c r="A22" i="4"/>
  <c r="A23" i="4"/>
  <c r="A24" i="4"/>
  <c r="A17" i="4"/>
  <c r="G24" i="4"/>
  <c r="F24" i="4"/>
  <c r="G23" i="4"/>
  <c r="F23" i="4"/>
  <c r="G22" i="4"/>
  <c r="F22" i="4"/>
  <c r="G21" i="4"/>
  <c r="F21" i="4"/>
  <c r="G20" i="4"/>
  <c r="F20" i="4"/>
  <c r="G19" i="4"/>
  <c r="F19" i="4"/>
  <c r="G18" i="4"/>
  <c r="F18" i="4"/>
  <c r="G17" i="4"/>
  <c r="F17" i="4"/>
  <c r="E4" i="4"/>
  <c r="E5" i="4"/>
  <c r="E6" i="4"/>
  <c r="E7" i="4"/>
  <c r="E8" i="4"/>
  <c r="E9" i="4"/>
  <c r="E10" i="4"/>
  <c r="E11" i="4"/>
  <c r="D5" i="4"/>
  <c r="D6" i="4"/>
  <c r="D7" i="4"/>
  <c r="D8" i="4"/>
  <c r="D9" i="4"/>
  <c r="D10" i="4"/>
  <c r="D11" i="4"/>
  <c r="D4" i="4"/>
  <c r="F31" i="1"/>
  <c r="E31" i="1"/>
  <c r="F18" i="1"/>
  <c r="E18" i="1"/>
  <c r="C4" i="4"/>
  <c r="C5" i="4"/>
  <c r="C6" i="4"/>
  <c r="C7" i="4"/>
  <c r="C8" i="4"/>
  <c r="C9" i="4"/>
  <c r="C10" i="4"/>
  <c r="C11" i="4"/>
  <c r="B5" i="4"/>
  <c r="B6" i="4"/>
  <c r="B7" i="4"/>
  <c r="B8" i="4"/>
  <c r="B9" i="4"/>
  <c r="B10" i="4"/>
  <c r="B11" i="4"/>
  <c r="B4" i="4"/>
  <c r="A5" i="4"/>
  <c r="A6" i="4"/>
  <c r="A7" i="4"/>
  <c r="A8" i="4"/>
  <c r="A9" i="4"/>
  <c r="A10" i="4"/>
  <c r="A11" i="4"/>
  <c r="A4" i="4"/>
  <c r="F9" i="4"/>
  <c r="G9" i="4"/>
  <c r="F8" i="4"/>
  <c r="G8" i="4"/>
  <c r="F6" i="4"/>
  <c r="G6" i="4"/>
  <c r="F4" i="4"/>
  <c r="G4" i="4"/>
  <c r="A37" i="12"/>
  <c r="A38" i="12"/>
  <c r="A39" i="12"/>
  <c r="A40" i="12"/>
  <c r="A41" i="12"/>
  <c r="A42" i="12"/>
  <c r="A43" i="12"/>
  <c r="A36" i="12"/>
  <c r="A24" i="12"/>
  <c r="A25" i="12"/>
  <c r="A26" i="12"/>
  <c r="A27" i="12"/>
  <c r="A28" i="12"/>
  <c r="A29" i="12"/>
  <c r="A30" i="12"/>
  <c r="A23" i="12"/>
  <c r="A11" i="12"/>
  <c r="A12" i="12"/>
  <c r="A13" i="12"/>
  <c r="A14" i="12"/>
  <c r="A15" i="12"/>
  <c r="A16" i="12"/>
  <c r="A17" i="12"/>
  <c r="A10" i="12"/>
  <c r="B24" i="12"/>
  <c r="C24" i="12"/>
  <c r="B25" i="12"/>
  <c r="C25" i="12"/>
  <c r="B26" i="12"/>
  <c r="C26" i="12"/>
  <c r="B27" i="12"/>
  <c r="C27" i="12"/>
  <c r="B28" i="12"/>
  <c r="C28" i="12"/>
  <c r="B29" i="12"/>
  <c r="C29" i="12"/>
  <c r="B30" i="12"/>
  <c r="C30" i="12"/>
  <c r="C23" i="12"/>
  <c r="B23" i="12"/>
  <c r="B11" i="12"/>
  <c r="C11" i="12"/>
  <c r="C37" i="12" s="1"/>
  <c r="B12" i="12"/>
  <c r="B38" i="12" s="1"/>
  <c r="C12" i="12"/>
  <c r="B13" i="12"/>
  <c r="C13" i="12"/>
  <c r="B14" i="12"/>
  <c r="B40" i="12" s="1"/>
  <c r="C14" i="12"/>
  <c r="B15" i="12"/>
  <c r="C15" i="12"/>
  <c r="B16" i="12"/>
  <c r="C16" i="12"/>
  <c r="C42" i="12" s="1"/>
  <c r="B17" i="12"/>
  <c r="B43" i="12" s="1"/>
  <c r="C17" i="12"/>
  <c r="C10" i="12"/>
  <c r="B10" i="12"/>
  <c r="E37" i="1"/>
  <c r="K8" i="7" s="1"/>
  <c r="F37" i="1"/>
  <c r="L8" i="7" s="1"/>
  <c r="E38" i="1"/>
  <c r="K9" i="7" s="1"/>
  <c r="F38" i="1"/>
  <c r="L9" i="7" s="1"/>
  <c r="E39" i="1"/>
  <c r="K10" i="7" s="1"/>
  <c r="F39" i="1"/>
  <c r="L10" i="7" s="1"/>
  <c r="E40" i="1"/>
  <c r="K11" i="7" s="1"/>
  <c r="F40" i="1"/>
  <c r="E41" i="1"/>
  <c r="K12" i="7" s="1"/>
  <c r="F41" i="1"/>
  <c r="L12" i="7" s="1"/>
  <c r="E42" i="1"/>
  <c r="K13" i="7" s="1"/>
  <c r="F42" i="1"/>
  <c r="L13" i="7" s="1"/>
  <c r="E43" i="1"/>
  <c r="K14" i="7" s="1"/>
  <c r="F43" i="1"/>
  <c r="L14" i="7" s="1"/>
  <c r="F36" i="1"/>
  <c r="L7" i="7" s="1"/>
  <c r="E36" i="1"/>
  <c r="J28" i="1"/>
  <c r="K28" i="1"/>
  <c r="I28" i="1"/>
  <c r="K27" i="1"/>
  <c r="J27" i="1"/>
  <c r="I27" i="1"/>
  <c r="J25" i="1"/>
  <c r="K25" i="1"/>
  <c r="I25" i="1"/>
  <c r="K23" i="1"/>
  <c r="I23" i="1"/>
  <c r="K15" i="1"/>
  <c r="I15" i="1"/>
  <c r="G41" i="1" s="1"/>
  <c r="J15" i="1"/>
  <c r="K14" i="1"/>
  <c r="I14" i="1"/>
  <c r="J14" i="1"/>
  <c r="K12" i="1"/>
  <c r="I12" i="1"/>
  <c r="J12" i="1"/>
  <c r="K10" i="1"/>
  <c r="I10" i="1"/>
  <c r="G36" i="1" s="1"/>
  <c r="J10" i="1"/>
  <c r="D5" i="14"/>
  <c r="E8" i="9" a="1"/>
  <c r="E8" i="9" s="1"/>
  <c r="D8" i="9" a="1"/>
  <c r="D8" i="9" s="1"/>
  <c r="F8" i="9" s="1"/>
  <c r="D8" i="16"/>
  <c r="E7" i="9" a="1"/>
  <c r="E7" i="9" s="1"/>
  <c r="D7" i="9" a="1"/>
  <c r="D7" i="9" s="1"/>
  <c r="E6" i="9" a="1"/>
  <c r="E6" i="9" s="1"/>
  <c r="D6" i="9" a="1"/>
  <c r="D6" i="9" s="1"/>
  <c r="F6" i="9" s="1"/>
  <c r="C36" i="4" l="1"/>
  <c r="B42" i="12"/>
  <c r="H40" i="1"/>
  <c r="H41" i="1"/>
  <c r="H38" i="1"/>
  <c r="K38" i="1" s="1"/>
  <c r="F7" i="9"/>
  <c r="C39" i="12"/>
  <c r="C36" i="12"/>
  <c r="B35" i="4"/>
  <c r="B37" i="12"/>
  <c r="B36" i="12"/>
  <c r="I6" i="4"/>
  <c r="B37" i="4"/>
  <c r="I20" i="4"/>
  <c r="J41" i="1"/>
  <c r="K40" i="1"/>
  <c r="G38" i="1"/>
  <c r="J38" i="1" s="1"/>
  <c r="B36" i="4"/>
  <c r="C35" i="4"/>
  <c r="I8" i="4"/>
  <c r="H8" i="4"/>
  <c r="H21" i="4"/>
  <c r="G40" i="1"/>
  <c r="J40" i="1" s="1"/>
  <c r="J36" i="1"/>
  <c r="K41" i="1"/>
  <c r="B39" i="12"/>
  <c r="I24" i="4"/>
  <c r="H36" i="1"/>
  <c r="K36" i="1" s="1"/>
  <c r="H6" i="4"/>
  <c r="H20" i="4"/>
  <c r="B33" i="4"/>
  <c r="C32" i="4"/>
  <c r="C43" i="12"/>
  <c r="E44" i="1"/>
  <c r="I22" i="4"/>
  <c r="I21" i="4"/>
  <c r="I9" i="4"/>
  <c r="B34" i="4"/>
  <c r="H9" i="4"/>
  <c r="B31" i="4"/>
  <c r="C30" i="4"/>
  <c r="I23" i="4"/>
  <c r="K7" i="7"/>
  <c r="F44" i="1"/>
  <c r="C34" i="4"/>
  <c r="C33" i="4"/>
  <c r="B30" i="4"/>
  <c r="C37" i="4"/>
  <c r="B32" i="4"/>
  <c r="C31" i="4"/>
  <c r="H19" i="4"/>
  <c r="L11" i="7"/>
  <c r="H22" i="4"/>
  <c r="C25" i="4"/>
  <c r="I17" i="4"/>
  <c r="H23" i="4"/>
  <c r="I19" i="4"/>
  <c r="H18" i="4"/>
  <c r="I18" i="4"/>
  <c r="H24" i="4"/>
  <c r="J24" i="4" s="1"/>
  <c r="B25" i="4"/>
  <c r="H17" i="4"/>
  <c r="C40" i="12"/>
  <c r="C38" i="12"/>
  <c r="C41" i="12"/>
  <c r="B31" i="12"/>
  <c r="C31" i="12"/>
  <c r="B41" i="12"/>
  <c r="B18" i="12"/>
  <c r="C18" i="12"/>
  <c r="I4" i="4"/>
  <c r="H4" i="4"/>
  <c r="M23" i="1"/>
  <c r="M28" i="1"/>
  <c r="L28" i="1"/>
  <c r="M27" i="1"/>
  <c r="L27" i="1"/>
  <c r="M25" i="1"/>
  <c r="L25" i="1"/>
  <c r="L23" i="1"/>
  <c r="L15" i="1"/>
  <c r="M15" i="1"/>
  <c r="M14" i="1"/>
  <c r="L14" i="1"/>
  <c r="M12" i="1"/>
  <c r="L12" i="1"/>
  <c r="M10" i="1"/>
  <c r="L10" i="1"/>
  <c r="F5" i="9" a="1"/>
  <c r="F5" i="9" s="1"/>
  <c r="D6" i="15"/>
  <c r="B44" i="12" l="1"/>
  <c r="J20" i="4"/>
  <c r="J8" i="4"/>
  <c r="J6" i="4"/>
  <c r="J22" i="4"/>
  <c r="H34" i="4"/>
  <c r="D34" i="4" s="1"/>
  <c r="J21" i="4"/>
  <c r="C44" i="12"/>
  <c r="H32" i="4"/>
  <c r="D32" i="4" s="1"/>
  <c r="H35" i="4"/>
  <c r="E35" i="4" s="1"/>
  <c r="I34" i="4"/>
  <c r="I25" i="4"/>
  <c r="J19" i="4"/>
  <c r="C38" i="4"/>
  <c r="J23" i="4"/>
  <c r="I35" i="4"/>
  <c r="H25" i="4"/>
  <c r="I30" i="4"/>
  <c r="J9" i="4"/>
  <c r="B38" i="4"/>
  <c r="I32" i="4"/>
  <c r="H30" i="4"/>
  <c r="J18" i="4"/>
  <c r="D35" i="4"/>
  <c r="J17" i="4"/>
  <c r="J4" i="4"/>
  <c r="M3" i="3"/>
  <c r="M4" i="3" s="1"/>
  <c r="M2" i="3"/>
  <c r="B6" i="12"/>
  <c r="B5" i="12"/>
  <c r="B4" i="12"/>
  <c r="F18" i="9"/>
  <c r="F17" i="9"/>
  <c r="F16" i="9"/>
  <c r="F15" i="9"/>
  <c r="F14" i="9"/>
  <c r="F13" i="9"/>
  <c r="F12" i="9"/>
  <c r="K13" i="10"/>
  <c r="L13" i="10" s="1"/>
  <c r="C4" i="5" s="1"/>
  <c r="D21" i="9" s="1"/>
  <c r="K12" i="10"/>
  <c r="B3" i="5" s="1"/>
  <c r="E19" i="9" s="1"/>
  <c r="E34" i="4" l="1"/>
  <c r="E32" i="4"/>
  <c r="J35" i="4"/>
  <c r="J34" i="4"/>
  <c r="J32" i="4"/>
  <c r="J25" i="4"/>
  <c r="B4" i="5"/>
  <c r="E21" i="9" s="1"/>
  <c r="L12" i="10"/>
  <c r="C3" i="5" s="1"/>
  <c r="D19" i="9" s="1"/>
  <c r="D30" i="4"/>
  <c r="D26" i="12"/>
  <c r="D27" i="12"/>
  <c r="D38" i="12"/>
  <c r="E29" i="12"/>
  <c r="D29" i="12"/>
  <c r="E27" i="12"/>
  <c r="E36" i="12"/>
  <c r="D39" i="12"/>
  <c r="D25" i="12"/>
  <c r="E30" i="12"/>
  <c r="E26" i="12"/>
  <c r="E23" i="12"/>
  <c r="D40" i="12"/>
  <c r="D30" i="12"/>
  <c r="D36" i="12"/>
  <c r="D23" i="12"/>
  <c r="E37" i="12"/>
  <c r="D42" i="12"/>
  <c r="E42" i="12"/>
  <c r="E28" i="12"/>
  <c r="D28" i="12"/>
  <c r="E41" i="12"/>
  <c r="D41" i="12"/>
  <c r="D43" i="12"/>
  <c r="E43" i="12"/>
  <c r="E38" i="12"/>
  <c r="E24" i="12"/>
  <c r="E25" i="12"/>
  <c r="D24" i="12"/>
  <c r="D37" i="12"/>
  <c r="E40" i="12"/>
  <c r="E39" i="12"/>
  <c r="D15" i="12"/>
  <c r="E15" i="12"/>
  <c r="D14" i="12"/>
  <c r="E14" i="12"/>
  <c r="D12" i="12"/>
  <c r="E12" i="12"/>
  <c r="E10" i="12"/>
  <c r="D10" i="12"/>
  <c r="D17" i="12"/>
  <c r="D16" i="12"/>
  <c r="E17" i="12"/>
  <c r="E13" i="12"/>
  <c r="E11" i="12"/>
  <c r="E16" i="12"/>
  <c r="D13" i="12"/>
  <c r="D11" i="12"/>
  <c r="G5" i="4"/>
  <c r="I5" i="4" s="1"/>
  <c r="G7" i="4"/>
  <c r="I7" i="4" s="1"/>
  <c r="G10" i="4"/>
  <c r="I10" i="4" s="1"/>
  <c r="G11" i="4"/>
  <c r="I11" i="4" s="1"/>
  <c r="F7" i="4"/>
  <c r="H7" i="4" s="1"/>
  <c r="H33" i="4" s="1"/>
  <c r="F10" i="4"/>
  <c r="H10" i="4" s="1"/>
  <c r="H36" i="4" s="1"/>
  <c r="F11" i="4"/>
  <c r="H11" i="4" s="1"/>
  <c r="H37" i="4" s="1"/>
  <c r="F5" i="4"/>
  <c r="H5" i="4" s="1"/>
  <c r="H31" i="4" s="1"/>
  <c r="C12" i="4"/>
  <c r="K4" i="3"/>
  <c r="E10" i="9" s="1"/>
  <c r="L4" i="3"/>
  <c r="D10" i="9" s="1"/>
  <c r="I26" i="1"/>
  <c r="I29" i="1"/>
  <c r="I30" i="1"/>
  <c r="I24" i="1"/>
  <c r="K30" i="1"/>
  <c r="K29" i="1"/>
  <c r="K26" i="1"/>
  <c r="K24" i="1"/>
  <c r="J24" i="1"/>
  <c r="J29" i="1"/>
  <c r="J30" i="1"/>
  <c r="J26" i="1"/>
  <c r="K17" i="1"/>
  <c r="K16" i="1"/>
  <c r="K13" i="1"/>
  <c r="K11" i="1"/>
  <c r="J13" i="1"/>
  <c r="J16" i="1"/>
  <c r="H42" i="1" s="1"/>
  <c r="J17" i="1"/>
  <c r="H43" i="1" s="1"/>
  <c r="J11" i="1"/>
  <c r="H37" i="1" s="1"/>
  <c r="I13" i="1"/>
  <c r="G39" i="1" s="1"/>
  <c r="I16" i="1"/>
  <c r="I17" i="1"/>
  <c r="I11" i="1"/>
  <c r="G37" i="1" l="1"/>
  <c r="G43" i="1"/>
  <c r="G42" i="1"/>
  <c r="H39" i="1"/>
  <c r="H38" i="4"/>
  <c r="E11" i="9" s="1"/>
  <c r="E36" i="4"/>
  <c r="D36" i="4"/>
  <c r="E37" i="4"/>
  <c r="D37" i="4"/>
  <c r="E33" i="4"/>
  <c r="D33" i="4"/>
  <c r="J11" i="4"/>
  <c r="I37" i="4"/>
  <c r="J37" i="4" s="1"/>
  <c r="I36" i="4"/>
  <c r="J36" i="4" s="1"/>
  <c r="J10" i="4"/>
  <c r="I33" i="4"/>
  <c r="J33" i="4" s="1"/>
  <c r="J7" i="4"/>
  <c r="D31" i="4"/>
  <c r="E31" i="4"/>
  <c r="J5" i="4"/>
  <c r="I31" i="4"/>
  <c r="J31" i="4" s="1"/>
  <c r="F39" i="12"/>
  <c r="F43" i="12"/>
  <c r="D18" i="12"/>
  <c r="D31" i="12"/>
  <c r="E18" i="12"/>
  <c r="F40" i="12"/>
  <c r="E31" i="12"/>
  <c r="F38" i="12"/>
  <c r="F30" i="12"/>
  <c r="F37" i="12"/>
  <c r="D44" i="12"/>
  <c r="E4" i="9" s="1"/>
  <c r="F36" i="12"/>
  <c r="E44" i="12"/>
  <c r="D4" i="9" s="1"/>
  <c r="F27" i="12"/>
  <c r="F25" i="12"/>
  <c r="F28" i="12"/>
  <c r="F23" i="12"/>
  <c r="F29" i="12"/>
  <c r="F41" i="12"/>
  <c r="F24" i="12"/>
  <c r="F42" i="12"/>
  <c r="F26" i="12"/>
  <c r="F15" i="12"/>
  <c r="F10" i="12"/>
  <c r="F12" i="12"/>
  <c r="F14" i="12"/>
  <c r="L16" i="1"/>
  <c r="L17" i="1"/>
  <c r="F11" i="12"/>
  <c r="M24" i="1"/>
  <c r="L11" i="1"/>
  <c r="L24" i="1"/>
  <c r="F17" i="12"/>
  <c r="M26" i="1"/>
  <c r="M30" i="1"/>
  <c r="F16" i="12"/>
  <c r="L29" i="1"/>
  <c r="M17" i="1"/>
  <c r="M16" i="1"/>
  <c r="L30" i="1"/>
  <c r="M29" i="1"/>
  <c r="M13" i="1"/>
  <c r="L13" i="1"/>
  <c r="L26" i="1"/>
  <c r="M11" i="1"/>
  <c r="F13" i="12"/>
  <c r="B12" i="4"/>
  <c r="F10" i="9"/>
  <c r="L18" i="1" l="1"/>
  <c r="L31" i="1"/>
  <c r="F44" i="12"/>
  <c r="F31" i="12"/>
  <c r="F18" i="12"/>
  <c r="F4" i="9"/>
  <c r="L49" i="10"/>
  <c r="K49" i="10"/>
  <c r="P3" i="10" s="1"/>
  <c r="E20" i="9" s="1"/>
  <c r="M12" i="10" l="1"/>
  <c r="D3" i="5" s="1"/>
  <c r="Q3" i="10"/>
  <c r="P4" i="10"/>
  <c r="E22" i="9" s="1"/>
  <c r="M13" i="10"/>
  <c r="D4" i="5" s="1"/>
  <c r="Q4" i="10"/>
  <c r="D22" i="9" s="1"/>
  <c r="F19" i="9"/>
  <c r="F21" i="9"/>
  <c r="F22" i="9" l="1"/>
  <c r="R3" i="10"/>
  <c r="D20" i="9"/>
  <c r="F20" i="9" s="1"/>
  <c r="R4" i="10"/>
  <c r="D25" i="9" a="1"/>
  <c r="D25" i="9" s="1"/>
  <c r="F25" i="9" s="1"/>
  <c r="E25" i="9" a="1"/>
  <c r="E25" i="9" s="1"/>
  <c r="K39" i="1" l="1"/>
  <c r="J39" i="1"/>
  <c r="K43" i="1"/>
  <c r="J43" i="1"/>
  <c r="H12" i="4"/>
  <c r="I12" i="4"/>
  <c r="J37" i="1" l="1"/>
  <c r="K37" i="1"/>
  <c r="J42" i="1"/>
  <c r="K42" i="1"/>
  <c r="B3" i="2"/>
  <c r="C4" i="2"/>
  <c r="C3" i="2"/>
  <c r="B4" i="2"/>
  <c r="J12" i="4"/>
  <c r="F49" i="1" l="1"/>
  <c r="D2" i="9" s="1"/>
  <c r="E49" i="1"/>
  <c r="E2" i="9" s="1"/>
  <c r="J44" i="1"/>
  <c r="K44" i="1"/>
  <c r="L15" i="7"/>
  <c r="D27" i="9" s="1"/>
  <c r="K15" i="7"/>
  <c r="E27" i="9" s="1"/>
  <c r="D4" i="2"/>
  <c r="D3" i="2"/>
  <c r="C5" i="2"/>
  <c r="D9" i="9" s="1"/>
  <c r="B5" i="2"/>
  <c r="E9" i="9" s="1"/>
  <c r="F50" i="1"/>
  <c r="D3" i="9" s="1"/>
  <c r="E50" i="1"/>
  <c r="E3" i="9" s="1"/>
  <c r="F27" i="9" l="1"/>
  <c r="F3" i="9"/>
  <c r="F9" i="9"/>
  <c r="F2" i="9"/>
  <c r="D5" i="2"/>
  <c r="G50" i="1"/>
  <c r="G49" i="1"/>
  <c r="J30" i="4" l="1"/>
  <c r="J38" i="4" s="1"/>
  <c r="E30" i="4"/>
  <c r="I38" i="4"/>
  <c r="D11" i="9" s="1"/>
  <c r="F11" i="9"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<sst xmlns="http://schemas.openxmlformats.org/spreadsheetml/2006/main" count="327" uniqueCount="155">
  <si>
    <t>Peak Non HOV Vehicles</t>
  </si>
  <si>
    <t>Part 1</t>
  </si>
  <si>
    <t>Peak Truck</t>
  </si>
  <si>
    <t>Non-Peak Non HOV</t>
  </si>
  <si>
    <t>Non-Peak Truck</t>
  </si>
  <si>
    <t>Part 2</t>
  </si>
  <si>
    <t>Speed Limit Travel Time</t>
  </si>
  <si>
    <t>No Build DVHD</t>
  </si>
  <si>
    <t>No Build Travel Time</t>
  </si>
  <si>
    <t>Build Travel Time</t>
  </si>
  <si>
    <t>Build DVHD</t>
  </si>
  <si>
    <t>Combined</t>
  </si>
  <si>
    <t>Total</t>
  </si>
  <si>
    <t>No Build Daily DVHD</t>
  </si>
  <si>
    <t>No Build Volume/ Year</t>
  </si>
  <si>
    <t>Build Volume/ Year</t>
  </si>
  <si>
    <t>Vehicles</t>
  </si>
  <si>
    <t>Trucks</t>
  </si>
  <si>
    <t>No Build Yearly DVHD</t>
  </si>
  <si>
    <t>Build Yearly DVHD</t>
  </si>
  <si>
    <t>Change</t>
  </si>
  <si>
    <t>No Build Avg Speed</t>
  </si>
  <si>
    <t>Build Avg Speed</t>
  </si>
  <si>
    <t>No Build Impacted Length</t>
  </si>
  <si>
    <t>Build Impacted Length</t>
  </si>
  <si>
    <t>No Build Velocity</t>
  </si>
  <si>
    <t>Build Velocity</t>
  </si>
  <si>
    <t>Tons</t>
  </si>
  <si>
    <t>EMISSIONS REDUCTION</t>
  </si>
  <si>
    <t xml:space="preserve">     CO Emissions Saved</t>
  </si>
  <si>
    <t xml:space="preserve">     CO2 Emissions Saved</t>
  </si>
  <si>
    <t xml:space="preserve">     NOX Emissions Saved</t>
  </si>
  <si>
    <t xml:space="preserve">     PM10 Emissions Saved</t>
  </si>
  <si>
    <t xml:space="preserve">        PM2.5 Emissions Saved</t>
  </si>
  <si>
    <t xml:space="preserve">     SOX Emissions Saved</t>
  </si>
  <si>
    <t xml:space="preserve">     VOC Emissions Saved</t>
  </si>
  <si>
    <t>Year 20</t>
  </si>
  <si>
    <t>Existing</t>
  </si>
  <si>
    <t>Fatal Crashes</t>
  </si>
  <si>
    <t>Injury Crashes</t>
  </si>
  <si>
    <t>Build Daily DVHD</t>
  </si>
  <si>
    <t>No Build Per Year</t>
  </si>
  <si>
    <t>Build Per Year</t>
  </si>
  <si>
    <t>Unit</t>
  </si>
  <si>
    <t>Build</t>
  </si>
  <si>
    <t>Change in Rail Volume</t>
  </si>
  <si>
    <t>Travel Time or Total Cargo Transport Time</t>
  </si>
  <si>
    <t>Particulate Matter</t>
  </si>
  <si>
    <t>Carbon Dioxide (CO2)</t>
  </si>
  <si>
    <t>Volitile Organic Compounds (VOC)</t>
  </si>
  <si>
    <t>Carbon Monoxide (CO)</t>
  </si>
  <si>
    <t>Number of Fatalities</t>
  </si>
  <si>
    <t>Fatalities per 100 Million VMT</t>
  </si>
  <si>
    <t>Number of Serious Injuries</t>
  </si>
  <si>
    <t>Number of Serious Injuries per 100 Million VMT</t>
  </si>
  <si>
    <t>Cost Benefit Ratio</t>
  </si>
  <si>
    <t>Measure</t>
  </si>
  <si>
    <t>Indicator/Measure</t>
  </si>
  <si>
    <t>Congestion Reduction</t>
  </si>
  <si>
    <t>Change in Daily Vehicle Hours of Delay</t>
  </si>
  <si>
    <t>Hours</t>
  </si>
  <si>
    <t>Change in Daily Truck Hours of Delay</t>
  </si>
  <si>
    <t>Throughput (Freight)</t>
  </si>
  <si>
    <t>Change in Truck Volume</t>
  </si>
  <si>
    <t># of Trucks</t>
  </si>
  <si>
    <t>Velocity (Freight)</t>
  </si>
  <si>
    <t>Air Quality &amp; GHG (only 'Change' required)</t>
  </si>
  <si>
    <t>PM 2.5 Tons</t>
  </si>
  <si>
    <t>PM 10 Tons</t>
  </si>
  <si>
    <t xml:space="preserve">Sulfur Dioxides (SOx) </t>
  </si>
  <si>
    <t>Nitrogen Oxides (NOx)</t>
  </si>
  <si>
    <t>Safety</t>
  </si>
  <si>
    <t>Number</t>
  </si>
  <si>
    <t>Economic Development</t>
  </si>
  <si>
    <t>Jobs Created (only 'Build Required)</t>
  </si>
  <si>
    <t>Ratio</t>
  </si>
  <si>
    <t>Truck &amp; Vehicle Volume (Freight)</t>
  </si>
  <si>
    <t>Existing Average Annual Vehicle Volume on Project Segment</t>
  </si>
  <si>
    <t>Percent</t>
  </si>
  <si>
    <t>Existing Average Annual Truck Percent on Project Segment</t>
  </si>
  <si>
    <t>Estimated Year 20 Average Annual Vehicle on Project Segment with Project</t>
  </si>
  <si>
    <t>Estimated Year 20 Average Annual Truck Percent on Project Segment with Prjoect</t>
  </si>
  <si>
    <t>No Build VMT/ Year</t>
  </si>
  <si>
    <t>Build VMT/ Year</t>
  </si>
  <si>
    <t>Rate of Fatalities</t>
  </si>
  <si>
    <t>Rate of Serious Injuries</t>
  </si>
  <si>
    <t>Per 100 Million VMT</t>
  </si>
  <si>
    <t>Daily Vehicle Hours of Delay</t>
  </si>
  <si>
    <t>Vehicle Type</t>
  </si>
  <si>
    <t>Project Information</t>
  </si>
  <si>
    <t>Data</t>
  </si>
  <si>
    <t>Impacted Length (Miles)</t>
  </si>
  <si>
    <t>Vehicle Posted Speed Limit (MPH)</t>
  </si>
  <si>
    <t>Truck Posted Speed Limit (MPH)</t>
  </si>
  <si>
    <t>No Build Speed</t>
  </si>
  <si>
    <t>Build Speed</t>
  </si>
  <si>
    <t>Crash Type</t>
  </si>
  <si>
    <t>Rate of Fatalities and Serious Injuries</t>
  </si>
  <si>
    <t>Rate Per Day</t>
  </si>
  <si>
    <t>Actual Crash Rate Data (Box 1C in Cal-B/C)</t>
  </si>
  <si>
    <t>Statewide Basic Average Crash Rate (Box 1C in Cal-B/C)</t>
  </si>
  <si>
    <t>Percent Fatal Crashes</t>
  </si>
  <si>
    <t>Percent Injury Crashes</t>
  </si>
  <si>
    <t>No Build</t>
  </si>
  <si>
    <t>Total Over 20 Years (Tons)</t>
  </si>
  <si>
    <t>Type</t>
  </si>
  <si>
    <t>Average Daily Traffic</t>
  </si>
  <si>
    <t>Peak Rail</t>
  </si>
  <si>
    <t>Non-Peak Rail</t>
  </si>
  <si>
    <t>Current Yearly Volume</t>
  </si>
  <si>
    <t>Daily Vehicle Miles Travelled</t>
  </si>
  <si>
    <t>No Build DVMT</t>
  </si>
  <si>
    <t>Build DVMT</t>
  </si>
  <si>
    <t>Person Hours of Travel Time Saved</t>
  </si>
  <si>
    <t>Difference</t>
  </si>
  <si>
    <t>Reliability</t>
  </si>
  <si>
    <t>Level of Transit Delay</t>
  </si>
  <si>
    <t>Metric</t>
  </si>
  <si>
    <t>Median Minutes Late Per Bus</t>
  </si>
  <si>
    <t>Truck Travel Time Reliability Index</t>
  </si>
  <si>
    <t>Period &amp; Vehicle Type</t>
  </si>
  <si>
    <t>Change in Daily Vehicle Miles Traveled</t>
  </si>
  <si>
    <t>Miles</t>
  </si>
  <si>
    <t>Person Hours or Travel Time Saved</t>
  </si>
  <si>
    <t>Index</t>
  </si>
  <si>
    <t>Peak Period Travel Time Reliability Index</t>
  </si>
  <si>
    <t>Level of Travel Time Reliability (LOTTR)</t>
  </si>
  <si>
    <t>Minutes</t>
  </si>
  <si>
    <t>Truck Travel Time Relaibility Index</t>
  </si>
  <si>
    <t>Max TTTR</t>
  </si>
  <si>
    <t>Peak/ Non- Peak</t>
  </si>
  <si>
    <t>Peak/ Non Peak</t>
  </si>
  <si>
    <t>Peak HOV</t>
  </si>
  <si>
    <t>Peak Weaving</t>
  </si>
  <si>
    <t>Peak Ramp</t>
  </si>
  <si>
    <t>Peak Arterial</t>
  </si>
  <si>
    <t>Volume and Speed in Travel Time Tab</t>
  </si>
  <si>
    <t>Impacted Length and Speed Limit in Project Information Tab</t>
  </si>
  <si>
    <t>PHTTS (Cell AU25 in Travel Time Tab)</t>
  </si>
  <si>
    <r>
      <rPr>
        <b/>
        <sz val="16"/>
        <color rgb="FFC00000"/>
        <rFont val="Calibri"/>
        <family val="2"/>
        <scheme val="minor"/>
      </rPr>
      <t>Person Hours of Travel Time Saved</t>
    </r>
    <r>
      <rPr>
        <sz val="11"/>
        <color theme="1"/>
        <rFont val="Calibri"/>
        <family val="2"/>
        <scheme val="minor"/>
      </rPr>
      <t xml:space="preserve">
This is found in cell AU 25 in of the Travel Time tab in Cal-B/C Sketch.  See highlighted values below from the Travel Time tab.</t>
    </r>
  </si>
  <si>
    <r>
      <rPr>
        <b/>
        <sz val="16"/>
        <color rgb="FFC00000"/>
        <rFont val="Calibri"/>
        <family val="2"/>
        <scheme val="minor"/>
      </rPr>
      <t>Peak Period Travel Time Reliability Index</t>
    </r>
    <r>
      <rPr>
        <sz val="11"/>
        <color theme="1"/>
        <rFont val="Calibri"/>
        <family val="2"/>
        <scheme val="minor"/>
      </rPr>
      <t xml:space="preserve">
Level of Travel Time Reliability is located using the CTC Travel Time Reliability Crosswalk and following the instructions on page 65 of the CTC SB 1 Technical Performance Measurement Methodology Guidebook (2022).</t>
    </r>
  </si>
  <si>
    <r>
      <rPr>
        <b/>
        <sz val="16"/>
        <color rgb="FFC00000"/>
        <rFont val="Calibri"/>
        <family val="2"/>
        <scheme val="minor"/>
      </rPr>
      <t>Level of Transit Delay</t>
    </r>
    <r>
      <rPr>
        <sz val="11"/>
        <color theme="1"/>
        <rFont val="Calibri"/>
        <family val="2"/>
        <scheme val="minor"/>
      </rPr>
      <t xml:space="preserve">
Follow instructions from page 66-67 of the CTC SB 1 Technical Performance Measurement Methodology Guidebook (2022).</t>
    </r>
  </si>
  <si>
    <r>
      <rPr>
        <b/>
        <sz val="16"/>
        <color rgb="FFC00000"/>
        <rFont val="Calibri"/>
        <family val="2"/>
        <scheme val="minor"/>
      </rPr>
      <t>Truck Travel Time Reliability</t>
    </r>
    <r>
      <rPr>
        <sz val="11"/>
        <color theme="1"/>
        <rFont val="Calibri"/>
        <family val="2"/>
        <scheme val="minor"/>
      </rPr>
      <t xml:space="preserve">
Follow instructions from page 84-85 of the CTC SB 1 Technical Performance Measurement Methodology Guidebook (2022).</t>
    </r>
  </si>
  <si>
    <r>
      <rPr>
        <b/>
        <sz val="16"/>
        <color rgb="FFC00000"/>
        <rFont val="Calibri"/>
        <family val="2"/>
        <scheme val="minor"/>
      </rPr>
      <t>Rail Volume</t>
    </r>
    <r>
      <rPr>
        <sz val="11"/>
        <color theme="1"/>
        <rFont val="Calibri"/>
        <family val="2"/>
        <scheme val="minor"/>
      </rPr>
      <t xml:space="preserve">
In the Cal-B/C Sketch Model this is found in the Project Information tab in box 1D seen below.</t>
    </r>
  </si>
  <si>
    <t>VMT in the Vehicle Operating Costs Tab</t>
  </si>
  <si>
    <r>
      <rPr>
        <b/>
        <sz val="16"/>
        <color rgb="FFC00000"/>
        <rFont val="Calibri"/>
        <family val="2"/>
        <scheme val="minor"/>
      </rPr>
      <t>Air Quality</t>
    </r>
    <r>
      <rPr>
        <sz val="11"/>
        <color theme="1"/>
        <rFont val="Calibri"/>
        <family val="2"/>
        <scheme val="minor"/>
      </rPr>
      <t xml:space="preserve">
The Emissions Reduction in Tons over 20 years is found in the Results tab in Cal-B/C Sketch.  See below for an example.</t>
    </r>
  </si>
  <si>
    <r>
      <rPr>
        <b/>
        <sz val="16"/>
        <color rgb="FFC00000"/>
        <rFont val="Calibri"/>
        <family val="2"/>
        <scheme val="minor"/>
      </rPr>
      <t>Average Annual Volume</t>
    </r>
    <r>
      <rPr>
        <sz val="11"/>
        <color theme="1"/>
        <rFont val="Calibri"/>
        <family val="2"/>
        <scheme val="minor"/>
      </rPr>
      <t xml:space="preserve">
The current yearly volume is located in the Project Information tab in box 1B.</t>
    </r>
  </si>
  <si>
    <r>
      <rPr>
        <b/>
        <sz val="16"/>
        <color theme="1"/>
        <rFont val="Calibri"/>
        <family val="2"/>
        <scheme val="minor"/>
      </rPr>
      <t>Instructions</t>
    </r>
    <r>
      <rPr>
        <sz val="11"/>
        <color theme="1"/>
        <rFont val="Calibri"/>
        <family val="2"/>
        <scheme val="minor"/>
      </rPr>
      <t xml:space="preserve">
Fill out the orange cells and the rest of the cells are automatically calculated.  The yellow cells are the values used for the Performance Metrics.  Impacted length and vehicle/ truck speed limit is found in the Project Information tab in Cal-B/C.  Volume and speed is located in the Travel Time tab and you must scroll down to look at all of the different scenarios (Peak HOV, Peak Non-HOV, Non-Peak Non-HOV, etc.). See highlighted sections below.</t>
    </r>
  </si>
  <si>
    <t>Crash Rate Per Day and Statewide Basic Average Crash Rate in Project Information Tab</t>
  </si>
  <si>
    <r>
      <rPr>
        <b/>
        <sz val="16"/>
        <color rgb="FFC00000"/>
        <rFont val="Calibri"/>
        <family val="2"/>
        <scheme val="minor"/>
      </rPr>
      <t>Rate of Fatalities and Seroius Injuries</t>
    </r>
    <r>
      <rPr>
        <sz val="11"/>
        <color theme="1"/>
        <rFont val="Calibri"/>
        <family val="2"/>
        <scheme val="minor"/>
      </rPr>
      <t xml:space="preserve">
The Rate Per Day data is found in the Project Information tab of Cal-B/C Sketch in box 1C.  In the below example the fatal crash rate per day is 0.001 and the injury crash rate per day is 0.05.  The Statewide Basic Average Crash Rate also uses box 1C in Cal-B/C Sketch.  The VMT/ Year data is found in the Vehicle Operating Costs tab of Cal-B/C Sketch.  Data from Cal-B/C must be added for each scenario that has data (Peak HOV, Peak Non-HOV, Non-Peak Non-HOV, etc.).</t>
    </r>
  </si>
  <si>
    <t>Truck Volume</t>
  </si>
  <si>
    <t># of Fatalities and Serious Injuries</t>
  </si>
  <si>
    <t>Velocity</t>
  </si>
  <si>
    <t>Cost Effectiveness (only 'Change' Required)</t>
  </si>
  <si>
    <r>
      <rPr>
        <b/>
        <sz val="18"/>
        <color theme="1"/>
        <rFont val="Calibri"/>
        <family val="2"/>
        <scheme val="minor"/>
      </rPr>
      <t>Overview</t>
    </r>
    <r>
      <rPr>
        <sz val="11"/>
        <color theme="1"/>
        <rFont val="Calibri"/>
        <family val="2"/>
        <scheme val="minor"/>
      </rPr>
      <t xml:space="preserve">
</t>
    </r>
    <r>
      <rPr>
        <sz val="12"/>
        <color theme="1"/>
        <rFont val="Calibri"/>
        <family val="2"/>
        <scheme val="minor"/>
      </rPr>
      <t>In the following tabs fill out the orange cells and the rest of the cells are automatically calculated.  The yellow cells are the values used for the Performance Metrics.  There are instructions and information will need to be put into the DVHD, PHTTS, Peak Travel Time Reliability, Level of Transit Delay, Truck Travel Time Reliability, Rail Volume, Rate of Fatalities/ Serious Injuries, Air Quality, and Average Annual Volume (Gray tabs). There are instructions on each of the gray tabs. The non gray tabs are automatically calculated. 
After the data is entered in the orange cells the Performance Metrics will be shown on the Performance Metrics tab. There are some orange cells in the Performance Metrics tab that also need filled in. In the Change column of the Performance Metrics tab if the cell is green this means the project shows improvement for that metric and if it is red it means that metric is worse with the project. 
Some of the tabs ask for Part 1 and Part 2 data where Part 1 is for data from the first Sketch Cal-B/C run and Part 2 is from the second Cal-B/C run if you use the "Prepare Model for Second Road" macro button on the Project Information tab.  If the "Prepare Model for Second Road" macro is not used no data is needed for Part 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</si>
</sst>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0_);_(* \(#,##0.0\);_(* &quot;-&quot;??_);_(@_)"/>
    <numFmt numFmtId="165" formatCode="_(* #,##0.0000_);_(* \(#,##0.0000\);_(* &quot;-&quot;??_);_(@_)"/>
    <numFmt numFmtId="166" formatCode="_(* #,##0.0000_);_(* \(#,##0.0000\);_(* &quot;-&quot;????_);_(@_)"/>
    <numFmt numFmtId="167" formatCode="0.000000"/>
    <numFmt numFmtId="168" formatCode="0.00000000000000000000"/>
    <numFmt numFmtId="169" formatCode="0.0%"/>
    <numFmt numFmtId="170" formatCode="_(* #,##0_);_(* \(#,##0\);_(* &quot;-&quot;??_);_(@_)"/>
  </numFmts>
  <fonts count="18" x14ac:knownFonts="1">
    <font>
      <sz val="11"/>
      <color theme="1"/>
      <name val="Calibri"/>
      <family val="2"/>
      <scheme val="minor"/>
    </font>
    <font>
      <sz val="11"/>
      <color theme="1"/>
      <name val="Calibri"/>
      <family val="2"/>
      <scheme val="minor"/>
    </font>
    <font>
      <b/>
      <sz val="11"/>
      <color theme="1"/>
      <name val="Calibri"/>
      <family val="2"/>
      <scheme val="minor"/>
    </font>
    <font>
      <b/>
      <sz val="14"/>
      <color theme="1"/>
      <name val="Calibri"/>
      <family val="2"/>
      <scheme val="minor"/>
    </font>
    <font>
      <sz val="11"/>
      <color rgb="FFFF0000"/>
      <name val="Calibri"/>
      <family val="2"/>
      <scheme val="minor"/>
    </font>
    <font>
      <b/>
      <u/>
      <sz val="11"/>
      <color theme="1"/>
      <name val="Calibri"/>
      <family val="2"/>
      <scheme val="minor"/>
    </font>
    <font>
      <sz val="11"/>
      <name val="Calibri"/>
      <family val="2"/>
      <scheme val="minor"/>
    </font>
    <font>
      <sz val="11"/>
      <color rgb="FF3F3F76"/>
      <name val="Calibri"/>
      <family val="2"/>
      <scheme val="minor"/>
    </font>
    <font>
      <b/>
      <sz val="11"/>
      <color theme="0"/>
      <name val="Calibri"/>
      <family val="2"/>
      <scheme val="minor"/>
    </font>
    <font>
      <b/>
      <sz val="18"/>
      <color theme="1"/>
      <name val="Calibri"/>
      <family val="2"/>
      <scheme val="minor"/>
    </font>
    <font>
      <b/>
      <sz val="11"/>
      <name val="Calibri"/>
      <family val="2"/>
      <scheme val="minor"/>
    </font>
    <font>
      <sz val="11"/>
      <color rgb="FF000000"/>
      <name val="Calibri"/>
      <family val="2"/>
    </font>
    <font>
      <b/>
      <sz val="16"/>
      <color theme="1"/>
      <name val="Calibri"/>
      <family val="2"/>
      <scheme val="minor"/>
    </font>
    <font>
      <b/>
      <sz val="14"/>
      <color rgb="FFC00000"/>
      <name val="Calibri"/>
      <family val="2"/>
      <scheme val="minor"/>
    </font>
    <font>
      <b/>
      <sz val="16"/>
      <color rgb="FFC00000"/>
      <name val="Calibri"/>
      <family val="2"/>
      <scheme val="minor"/>
    </font>
    <font>
      <sz val="12"/>
      <color theme="1"/>
      <name val="Calibri"/>
      <family val="2"/>
      <scheme val="minor"/>
    </font>
    <font>
      <b/>
      <u/>
      <sz val="14"/>
      <color theme="1"/>
      <name val="Calibri"/>
      <family val="2"/>
      <scheme val="minor"/>
    </font>
    <font>
      <sz val="12"/>
      <name val="Calibri"/>
      <family val="2"/>
      <scheme val="minor"/>
    </font>
  </fonts>
  <fills count="15">
    <fill>
      <patternFill patternType="none"/>
    </fill>
    <fill>
      <patternFill patternType="gray125"/>
    </fill>
    <fill>
      <patternFill patternType="solid">
        <fgColor theme="5" tint="0.79998168889431442"/>
        <bgColor indexed="64"/>
      </patternFill>
    </fill>
    <fill>
      <patternFill patternType="solid">
        <fgColor theme="1" tint="0.499984740745262"/>
        <bgColor indexed="64"/>
      </patternFill>
    </fill>
    <fill>
      <patternFill patternType="solid">
        <fgColor rgb="FFFFCC99"/>
      </patternFill>
    </fill>
    <fill>
      <patternFill patternType="solid">
        <fgColor rgb="FFFFCC99"/>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rgb="FFFFFF0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style="medium">
        <color indexed="64"/>
      </right>
      <top style="medium">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medium">
        <color indexed="64"/>
      </top>
      <bottom style="thin">
        <color indexed="64"/>
      </bottom>
      <diagonal/>
    </border>
    <border>
      <left/>
      <right/>
      <top/>
      <bottom style="thin">
        <color indexed="64"/>
      </bottom>
      <diagonal/>
    </border>
    <border>
      <left style="thin">
        <color indexed="64"/>
      </left>
      <right style="thin">
        <color indexed="64"/>
      </right>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7" fillId="4" borderId="13" applyNumberFormat="0" applyAlignment="0" applyProtection="0"/>
  </cellStyleXfs>
  <cellXfs count="292">
    <xf numFmtId="0" fontId="0" fillId="0" borderId="0" xfId="0"/>
    <xf numFmtId="0" fontId="2" fillId="0" borderId="0" xfId="0" applyFont="1"/>
    <xf numFmtId="0" fontId="0" fillId="0" borderId="1" xfId="0" applyBorder="1"/>
    <xf numFmtId="43" fontId="0" fillId="0" borderId="1" xfId="1" applyFont="1" applyBorder="1"/>
    <xf numFmtId="165" fontId="0" fillId="0" borderId="1" xfId="1" applyNumberFormat="1" applyFont="1" applyBorder="1"/>
    <xf numFmtId="43" fontId="0" fillId="0" borderId="1" xfId="0" applyNumberFormat="1" applyBorder="1"/>
    <xf numFmtId="0" fontId="5" fillId="0" borderId="0" xfId="0" applyFont="1" applyAlignment="1">
      <alignment horizontal="center"/>
    </xf>
    <xf numFmtId="0" fontId="4" fillId="0" borderId="0" xfId="0" applyFont="1" applyAlignment="1">
      <alignment horizontal="center"/>
    </xf>
    <xf numFmtId="0" fontId="0" fillId="0" borderId="0" xfId="0" applyAlignment="1">
      <alignment horizontal="center"/>
    </xf>
    <xf numFmtId="0" fontId="0" fillId="0" borderId="0" xfId="0" applyAlignment="1">
      <alignment wrapText="1"/>
    </xf>
    <xf numFmtId="0" fontId="4" fillId="0" borderId="0" xfId="0" applyFont="1"/>
    <xf numFmtId="0" fontId="0" fillId="0" borderId="3" xfId="0" applyBorder="1"/>
    <xf numFmtId="3" fontId="0" fillId="0" borderId="0" xfId="0" applyNumberFormat="1"/>
    <xf numFmtId="43" fontId="6" fillId="0" borderId="1" xfId="1" applyFont="1" applyFill="1" applyBorder="1"/>
    <xf numFmtId="0" fontId="2" fillId="0" borderId="0" xfId="0" applyFont="1" applyBorder="1" applyAlignment="1"/>
    <xf numFmtId="0" fontId="0" fillId="0" borderId="0" xfId="0" applyBorder="1"/>
    <xf numFmtId="168" fontId="0" fillId="0" borderId="0" xfId="0" applyNumberFormat="1"/>
    <xf numFmtId="0" fontId="2" fillId="0" borderId="3" xfId="0" applyFont="1" applyBorder="1"/>
    <xf numFmtId="165" fontId="0" fillId="0" borderId="2" xfId="1" applyNumberFormat="1" applyFont="1" applyBorder="1"/>
    <xf numFmtId="0" fontId="2" fillId="0" borderId="7" xfId="0" applyFont="1" applyBorder="1"/>
    <xf numFmtId="0" fontId="2" fillId="0" borderId="8" xfId="0" applyFont="1" applyBorder="1"/>
    <xf numFmtId="0" fontId="2" fillId="0" borderId="9" xfId="0" applyFont="1" applyBorder="1"/>
    <xf numFmtId="0" fontId="0" fillId="0" borderId="11" xfId="0" applyBorder="1"/>
    <xf numFmtId="165" fontId="0" fillId="0" borderId="14" xfId="1" applyNumberFormat="1" applyFont="1" applyBorder="1"/>
    <xf numFmtId="0" fontId="0" fillId="0" borderId="9" xfId="0" applyBorder="1"/>
    <xf numFmtId="0" fontId="0" fillId="0" borderId="7" xfId="0" applyBorder="1"/>
    <xf numFmtId="0" fontId="2" fillId="0" borderId="3" xfId="0" applyFont="1" applyFill="1" applyBorder="1"/>
    <xf numFmtId="0" fontId="2" fillId="0" borderId="11" xfId="0" applyFont="1" applyFill="1" applyBorder="1"/>
    <xf numFmtId="0" fontId="2" fillId="0" borderId="7" xfId="0" applyFont="1" applyFill="1" applyBorder="1"/>
    <xf numFmtId="0" fontId="2" fillId="0" borderId="8" xfId="0" applyFont="1" applyFill="1" applyBorder="1"/>
    <xf numFmtId="0" fontId="2" fillId="0" borderId="9" xfId="0" applyFont="1" applyFill="1" applyBorder="1"/>
    <xf numFmtId="43" fontId="7" fillId="4" borderId="13" xfId="3" applyNumberFormat="1"/>
    <xf numFmtId="0" fontId="7" fillId="4" borderId="13" xfId="3"/>
    <xf numFmtId="0" fontId="0" fillId="0" borderId="3" xfId="0" applyFill="1" applyBorder="1"/>
    <xf numFmtId="43" fontId="0" fillId="0" borderId="1" xfId="1" applyFont="1" applyFill="1" applyBorder="1"/>
    <xf numFmtId="165" fontId="0" fillId="0" borderId="1" xfId="1" applyNumberFormat="1" applyFont="1" applyFill="1" applyBorder="1"/>
    <xf numFmtId="165" fontId="0" fillId="0" borderId="2" xfId="1" applyNumberFormat="1" applyFont="1" applyFill="1" applyBorder="1"/>
    <xf numFmtId="43" fontId="0" fillId="0" borderId="14" xfId="0" applyNumberFormat="1" applyFont="1" applyBorder="1"/>
    <xf numFmtId="0" fontId="0" fillId="0" borderId="14" xfId="0" applyBorder="1"/>
    <xf numFmtId="43" fontId="0" fillId="0" borderId="14" xfId="0" applyNumberFormat="1" applyBorder="1"/>
    <xf numFmtId="43" fontId="0" fillId="0" borderId="10" xfId="0" applyNumberFormat="1" applyBorder="1"/>
    <xf numFmtId="0" fontId="0" fillId="0" borderId="1" xfId="0" applyFill="1" applyBorder="1"/>
    <xf numFmtId="0" fontId="2" fillId="0" borderId="7" xfId="0" applyFont="1" applyFill="1" applyBorder="1" applyAlignment="1"/>
    <xf numFmtId="0" fontId="2" fillId="0" borderId="0" xfId="0" applyFont="1" applyBorder="1"/>
    <xf numFmtId="0" fontId="0" fillId="0" borderId="0" xfId="0" applyFont="1"/>
    <xf numFmtId="0" fontId="0" fillId="0" borderId="1" xfId="0" applyFont="1" applyBorder="1"/>
    <xf numFmtId="0" fontId="0" fillId="0" borderId="3" xfId="0" applyFont="1" applyFill="1" applyBorder="1"/>
    <xf numFmtId="0" fontId="0" fillId="0" borderId="1" xfId="0" applyFont="1" applyFill="1" applyBorder="1"/>
    <xf numFmtId="0" fontId="0" fillId="0" borderId="2" xfId="0" applyFont="1" applyFill="1" applyBorder="1"/>
    <xf numFmtId="0" fontId="0" fillId="0" borderId="11" xfId="0" applyFont="1" applyFill="1" applyBorder="1"/>
    <xf numFmtId="0" fontId="0" fillId="0" borderId="14" xfId="0" applyFont="1" applyFill="1" applyBorder="1"/>
    <xf numFmtId="0" fontId="0" fillId="0" borderId="10" xfId="0" applyFont="1" applyFill="1" applyBorder="1"/>
    <xf numFmtId="43" fontId="0" fillId="0" borderId="10" xfId="0" applyNumberFormat="1" applyFont="1" applyBorder="1"/>
    <xf numFmtId="0" fontId="2" fillId="0" borderId="11" xfId="0" applyFont="1" applyBorder="1"/>
    <xf numFmtId="0" fontId="10" fillId="0" borderId="3" xfId="0" applyFont="1" applyFill="1" applyBorder="1"/>
    <xf numFmtId="0" fontId="10" fillId="0" borderId="11" xfId="0" applyFont="1" applyFill="1" applyBorder="1"/>
    <xf numFmtId="0" fontId="8" fillId="0" borderId="7" xfId="0" applyFont="1" applyFill="1" applyBorder="1"/>
    <xf numFmtId="0" fontId="8" fillId="0" borderId="9" xfId="0" applyFont="1" applyFill="1" applyBorder="1"/>
    <xf numFmtId="0" fontId="0" fillId="0" borderId="3" xfId="0" applyFont="1" applyBorder="1"/>
    <xf numFmtId="43" fontId="1" fillId="0" borderId="1" xfId="1" applyFont="1" applyBorder="1"/>
    <xf numFmtId="0" fontId="0" fillId="0" borderId="11" xfId="0" applyFont="1" applyBorder="1"/>
    <xf numFmtId="0" fontId="0" fillId="0" borderId="2" xfId="0" applyFont="1" applyBorder="1"/>
    <xf numFmtId="0" fontId="0" fillId="0" borderId="14" xfId="0" applyFont="1" applyBorder="1"/>
    <xf numFmtId="0" fontId="5" fillId="0" borderId="0" xfId="0" applyFont="1" applyBorder="1" applyAlignment="1">
      <alignment horizontal="center"/>
    </xf>
    <xf numFmtId="3" fontId="0" fillId="0" borderId="0" xfId="0" applyNumberFormat="1" applyBorder="1"/>
    <xf numFmtId="0" fontId="0" fillId="0" borderId="0" xfId="0" applyBorder="1" applyAlignment="1">
      <alignment wrapText="1"/>
    </xf>
    <xf numFmtId="0" fontId="2" fillId="0" borderId="0" xfId="0" applyFont="1" applyBorder="1" applyAlignment="1">
      <alignment wrapText="1"/>
    </xf>
    <xf numFmtId="43" fontId="0" fillId="0" borderId="5" xfId="0" applyNumberFormat="1" applyBorder="1"/>
    <xf numFmtId="0" fontId="2" fillId="0" borderId="0" xfId="0" applyFont="1" applyFill="1" applyBorder="1"/>
    <xf numFmtId="43" fontId="2" fillId="0" borderId="0" xfId="0" applyNumberFormat="1" applyFont="1" applyFill="1" applyBorder="1"/>
    <xf numFmtId="0" fontId="3" fillId="0" borderId="0" xfId="0" applyFont="1" applyBorder="1" applyAlignment="1"/>
    <xf numFmtId="164" fontId="2" fillId="0" borderId="0" xfId="0" applyNumberFormat="1" applyFont="1" applyFill="1" applyBorder="1"/>
    <xf numFmtId="165" fontId="2" fillId="0" borderId="0" xfId="0" applyNumberFormat="1" applyFont="1" applyFill="1" applyBorder="1"/>
    <xf numFmtId="166" fontId="2" fillId="0" borderId="0" xfId="0" applyNumberFormat="1" applyFont="1" applyFill="1" applyBorder="1"/>
    <xf numFmtId="0" fontId="0" fillId="0" borderId="0" xfId="0" applyFill="1"/>
    <xf numFmtId="0" fontId="6" fillId="0" borderId="13" xfId="3" applyFont="1" applyFill="1"/>
    <xf numFmtId="169" fontId="0" fillId="0" borderId="0" xfId="0" applyNumberFormat="1"/>
    <xf numFmtId="0" fontId="9" fillId="0" borderId="0" xfId="0" applyFont="1"/>
    <xf numFmtId="170" fontId="7" fillId="4" borderId="13" xfId="1" applyNumberFormat="1" applyFont="1" applyFill="1" applyBorder="1"/>
    <xf numFmtId="0" fontId="2" fillId="0" borderId="1" xfId="0" applyFont="1" applyBorder="1"/>
    <xf numFmtId="43" fontId="7" fillId="4" borderId="1" xfId="3" applyNumberFormat="1" applyBorder="1"/>
    <xf numFmtId="43" fontId="7" fillId="0" borderId="1" xfId="3" applyNumberFormat="1" applyFill="1" applyBorder="1"/>
    <xf numFmtId="0" fontId="9" fillId="0" borderId="0" xfId="0" applyFont="1" applyAlignment="1"/>
    <xf numFmtId="43" fontId="0" fillId="0" borderId="2" xfId="1" applyFont="1" applyFill="1" applyBorder="1"/>
    <xf numFmtId="165" fontId="11" fillId="0" borderId="2" xfId="1" applyNumberFormat="1" applyFont="1" applyBorder="1"/>
    <xf numFmtId="43" fontId="6" fillId="0" borderId="14" xfId="1" applyFont="1" applyFill="1" applyBorder="1"/>
    <xf numFmtId="165" fontId="11" fillId="0" borderId="10" xfId="1" applyNumberFormat="1" applyFont="1" applyBorder="1"/>
    <xf numFmtId="165" fontId="11" fillId="0" borderId="10" xfId="0" applyNumberFormat="1" applyFont="1" applyBorder="1"/>
    <xf numFmtId="0" fontId="0" fillId="0" borderId="14" xfId="0" applyNumberFormat="1" applyFont="1" applyBorder="1"/>
    <xf numFmtId="165" fontId="0" fillId="0" borderId="14" xfId="0" applyNumberFormat="1" applyFont="1" applyBorder="1"/>
    <xf numFmtId="165" fontId="7" fillId="4" borderId="1" xfId="3" applyNumberFormat="1" applyBorder="1"/>
    <xf numFmtId="0" fontId="7" fillId="4" borderId="1" xfId="3" applyBorder="1"/>
    <xf numFmtId="43" fontId="7" fillId="4" borderId="14" xfId="3" applyNumberFormat="1" applyBorder="1"/>
    <xf numFmtId="0" fontId="7" fillId="4" borderId="2" xfId="3" applyBorder="1"/>
    <xf numFmtId="0" fontId="7" fillId="4" borderId="10" xfId="3" applyBorder="1"/>
    <xf numFmtId="43" fontId="6" fillId="0" borderId="14" xfId="0" applyNumberFormat="1" applyFont="1" applyFill="1" applyBorder="1"/>
    <xf numFmtId="0" fontId="0" fillId="0" borderId="8" xfId="0" applyBorder="1"/>
    <xf numFmtId="0" fontId="7" fillId="4" borderId="14" xfId="3" applyBorder="1"/>
    <xf numFmtId="169" fontId="7" fillId="4" borderId="1" xfId="3" applyNumberFormat="1" applyBorder="1"/>
    <xf numFmtId="169" fontId="7" fillId="4" borderId="2" xfId="3" applyNumberFormat="1" applyBorder="1"/>
    <xf numFmtId="169" fontId="7" fillId="4" borderId="14" xfId="3" applyNumberFormat="1" applyBorder="1"/>
    <xf numFmtId="169" fontId="7" fillId="4" borderId="10" xfId="3" applyNumberFormat="1" applyBorder="1"/>
    <xf numFmtId="43" fontId="7" fillId="4" borderId="2" xfId="3" applyNumberFormat="1" applyBorder="1"/>
    <xf numFmtId="43" fontId="7" fillId="4" borderId="10" xfId="3" applyNumberFormat="1" applyBorder="1"/>
    <xf numFmtId="43" fontId="0" fillId="0" borderId="0" xfId="0" applyNumberFormat="1" applyFont="1" applyBorder="1"/>
    <xf numFmtId="43" fontId="0" fillId="0" borderId="0" xfId="0" applyNumberFormat="1" applyBorder="1"/>
    <xf numFmtId="0" fontId="11" fillId="0" borderId="10" xfId="0" applyNumberFormat="1" applyFont="1" applyBorder="1"/>
    <xf numFmtId="0" fontId="0" fillId="0" borderId="0" xfId="0" applyFill="1" applyBorder="1"/>
    <xf numFmtId="0" fontId="0" fillId="0" borderId="14" xfId="0" applyNumberFormat="1" applyFont="1" applyFill="1" applyBorder="1"/>
    <xf numFmtId="43" fontId="0" fillId="0" borderId="14" xfId="0" applyNumberFormat="1" applyFont="1" applyFill="1" applyBorder="1"/>
    <xf numFmtId="43" fontId="0" fillId="0" borderId="1" xfId="0" applyNumberFormat="1" applyFont="1" applyFill="1" applyBorder="1"/>
    <xf numFmtId="43" fontId="0" fillId="0" borderId="2" xfId="0" applyNumberFormat="1" applyFont="1" applyFill="1" applyBorder="1"/>
    <xf numFmtId="43" fontId="7" fillId="0" borderId="0" xfId="3" applyNumberFormat="1" applyFill="1" applyBorder="1"/>
    <xf numFmtId="165" fontId="0" fillId="0" borderId="14" xfId="0" applyNumberFormat="1" applyFont="1" applyFill="1" applyBorder="1"/>
    <xf numFmtId="0" fontId="0" fillId="0" borderId="11" xfId="0" applyFill="1" applyBorder="1"/>
    <xf numFmtId="165" fontId="0" fillId="0" borderId="10" xfId="0" applyNumberFormat="1" applyFont="1" applyFill="1" applyBorder="1"/>
    <xf numFmtId="0" fontId="0" fillId="0" borderId="10" xfId="0" applyNumberFormat="1" applyFont="1" applyBorder="1"/>
    <xf numFmtId="165" fontId="0" fillId="0" borderId="1" xfId="0" applyNumberFormat="1" applyBorder="1"/>
    <xf numFmtId="0" fontId="0" fillId="0" borderId="0" xfId="0"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center" vertical="center"/>
    </xf>
    <xf numFmtId="0" fontId="9" fillId="0" borderId="0" xfId="0" applyFont="1" applyFill="1" applyAlignment="1"/>
    <xf numFmtId="0" fontId="0" fillId="0" borderId="0" xfId="0" applyAlignment="1">
      <alignment vertical="center" wrapText="1"/>
    </xf>
    <xf numFmtId="0" fontId="9" fillId="0" borderId="1" xfId="0" applyFont="1" applyFill="1" applyBorder="1" applyAlignment="1"/>
    <xf numFmtId="0" fontId="0" fillId="13" borderId="5" xfId="0" applyFill="1" applyBorder="1" applyAlignment="1">
      <alignment wrapText="1"/>
    </xf>
    <xf numFmtId="0" fontId="0" fillId="13" borderId="12" xfId="0" applyFill="1" applyBorder="1"/>
    <xf numFmtId="0" fontId="0" fillId="13" borderId="5" xfId="0" applyFill="1" applyBorder="1"/>
    <xf numFmtId="0" fontId="0" fillId="13" borderId="9" xfId="0" applyFill="1" applyBorder="1"/>
    <xf numFmtId="0" fontId="0" fillId="13" borderId="7" xfId="0" applyFill="1" applyBorder="1"/>
    <xf numFmtId="165" fontId="0" fillId="14" borderId="1" xfId="0" applyNumberFormat="1" applyFill="1" applyBorder="1"/>
    <xf numFmtId="165" fontId="0" fillId="14" borderId="1" xfId="0" applyNumberFormat="1" applyFill="1" applyBorder="1" applyAlignment="1">
      <alignment horizontal="left" indent="1"/>
    </xf>
    <xf numFmtId="165" fontId="0" fillId="14" borderId="2" xfId="0" applyNumberFormat="1" applyFill="1" applyBorder="1"/>
    <xf numFmtId="165" fontId="0" fillId="14" borderId="14" xfId="0" applyNumberFormat="1" applyFill="1" applyBorder="1"/>
    <xf numFmtId="165" fontId="0" fillId="14" borderId="10" xfId="0" applyNumberFormat="1" applyFill="1" applyBorder="1"/>
    <xf numFmtId="43" fontId="2" fillId="14" borderId="1" xfId="0" applyNumberFormat="1" applyFont="1" applyFill="1" applyBorder="1"/>
    <xf numFmtId="43" fontId="2" fillId="14" borderId="2" xfId="0" applyNumberFormat="1" applyFont="1" applyFill="1" applyBorder="1"/>
    <xf numFmtId="164" fontId="2" fillId="14" borderId="14" xfId="0" applyNumberFormat="1" applyFont="1" applyFill="1" applyBorder="1"/>
    <xf numFmtId="165" fontId="2" fillId="14" borderId="14" xfId="0" applyNumberFormat="1" applyFont="1" applyFill="1" applyBorder="1"/>
    <xf numFmtId="166" fontId="2" fillId="14" borderId="10" xfId="0" applyNumberFormat="1" applyFont="1" applyFill="1" applyBorder="1"/>
    <xf numFmtId="165" fontId="0" fillId="14" borderId="14" xfId="0" applyNumberFormat="1" applyFont="1" applyFill="1" applyBorder="1"/>
    <xf numFmtId="165" fontId="11" fillId="14" borderId="10" xfId="0" applyNumberFormat="1" applyFont="1" applyFill="1" applyBorder="1"/>
    <xf numFmtId="170" fontId="7" fillId="14" borderId="13" xfId="3" applyNumberFormat="1" applyFill="1"/>
    <xf numFmtId="0" fontId="0" fillId="14" borderId="0" xfId="0" applyFill="1"/>
    <xf numFmtId="0" fontId="7" fillId="14" borderId="10" xfId="3" applyFill="1" applyBorder="1"/>
    <xf numFmtId="43" fontId="0" fillId="14" borderId="14" xfId="0" applyNumberFormat="1" applyFont="1" applyFill="1" applyBorder="1"/>
    <xf numFmtId="43" fontId="0" fillId="14" borderId="10" xfId="0" applyNumberFormat="1" applyFill="1" applyBorder="1"/>
    <xf numFmtId="43" fontId="0" fillId="14" borderId="1" xfId="0" applyNumberFormat="1" applyFont="1" applyFill="1" applyBorder="1"/>
    <xf numFmtId="43" fontId="0" fillId="14" borderId="1" xfId="0" applyNumberFormat="1" applyFill="1" applyBorder="1"/>
    <xf numFmtId="0" fontId="0" fillId="14" borderId="1" xfId="0" applyFill="1" applyBorder="1"/>
    <xf numFmtId="43" fontId="0" fillId="14" borderId="14" xfId="0" applyNumberFormat="1" applyFill="1" applyBorder="1"/>
    <xf numFmtId="43" fontId="0" fillId="14" borderId="10" xfId="0" applyNumberFormat="1" applyFont="1" applyFill="1" applyBorder="1"/>
    <xf numFmtId="0" fontId="0" fillId="0" borderId="15" xfId="0" applyFill="1" applyBorder="1"/>
    <xf numFmtId="0" fontId="0" fillId="13" borderId="5" xfId="0" applyFill="1" applyBorder="1" applyAlignment="1"/>
    <xf numFmtId="0" fontId="0" fillId="13" borderId="0" xfId="0" applyFill="1" applyBorder="1" applyAlignment="1"/>
    <xf numFmtId="0" fontId="0" fillId="13" borderId="12" xfId="0" applyFill="1" applyBorder="1" applyAlignment="1"/>
    <xf numFmtId="0" fontId="0" fillId="13" borderId="0" xfId="0" applyFill="1" applyBorder="1"/>
    <xf numFmtId="0" fontId="0" fillId="13" borderId="17" xfId="0" applyFill="1" applyBorder="1"/>
    <xf numFmtId="0" fontId="0" fillId="13" borderId="5" xfId="0" applyFill="1" applyBorder="1" applyAlignment="1">
      <alignment vertical="top"/>
    </xf>
    <xf numFmtId="0" fontId="0" fillId="13" borderId="0" xfId="0" applyFill="1" applyBorder="1" applyAlignment="1">
      <alignment vertical="top"/>
    </xf>
    <xf numFmtId="0" fontId="0" fillId="13" borderId="12" xfId="0" applyFill="1" applyBorder="1" applyAlignment="1">
      <alignment vertical="top"/>
    </xf>
    <xf numFmtId="0" fontId="9" fillId="0" borderId="0" xfId="0" applyFont="1" applyAlignment="1">
      <alignment horizontal="center"/>
    </xf>
    <xf numFmtId="0" fontId="16" fillId="0" borderId="0" xfId="0" applyFont="1" applyAlignment="1">
      <alignment horizontal="center"/>
    </xf>
    <xf numFmtId="0" fontId="16" fillId="0" borderId="16" xfId="0" applyFont="1" applyFill="1" applyBorder="1" applyAlignment="1">
      <alignment horizontal="center"/>
    </xf>
    <xf numFmtId="0" fontId="16" fillId="0" borderId="6" xfId="0" applyFont="1" applyFill="1" applyBorder="1" applyAlignment="1">
      <alignment horizontal="center"/>
    </xf>
    <xf numFmtId="0" fontId="16" fillId="0" borderId="7" xfId="0" applyFont="1" applyFill="1" applyBorder="1" applyAlignment="1">
      <alignment horizontal="center"/>
    </xf>
    <xf numFmtId="0" fontId="16" fillId="0" borderId="8" xfId="0" applyFont="1" applyFill="1" applyBorder="1" applyAlignment="1">
      <alignment horizontal="center"/>
    </xf>
    <xf numFmtId="0" fontId="16" fillId="0" borderId="9" xfId="0" applyFont="1" applyFill="1" applyBorder="1" applyAlignment="1">
      <alignment horizontal="center"/>
    </xf>
    <xf numFmtId="0" fontId="15" fillId="6" borderId="14" xfId="0" applyFont="1" applyFill="1" applyBorder="1" applyAlignment="1">
      <alignment wrapText="1"/>
    </xf>
    <xf numFmtId="0" fontId="15" fillId="0" borderId="3" xfId="0" applyFont="1" applyBorder="1" applyAlignment="1">
      <alignment wrapText="1"/>
    </xf>
    <xf numFmtId="0" fontId="15" fillId="0" borderId="1" xfId="0" applyFont="1" applyBorder="1"/>
    <xf numFmtId="43" fontId="17" fillId="0" borderId="3" xfId="0" applyNumberFormat="1" applyFont="1" applyBorder="1"/>
    <xf numFmtId="43" fontId="17" fillId="0" borderId="1" xfId="0" applyNumberFormat="1" applyFont="1" applyBorder="1"/>
    <xf numFmtId="2" fontId="17" fillId="0" borderId="2" xfId="0" applyNumberFormat="1" applyFont="1" applyFill="1" applyBorder="1"/>
    <xf numFmtId="0" fontId="15" fillId="6" borderId="18" xfId="0" applyFont="1" applyFill="1" applyBorder="1" applyAlignment="1">
      <alignment wrapText="1"/>
    </xf>
    <xf numFmtId="0" fontId="15" fillId="0" borderId="3" xfId="0" applyFont="1" applyBorder="1"/>
    <xf numFmtId="0" fontId="17" fillId="0" borderId="2" xfId="0" applyFont="1" applyBorder="1"/>
    <xf numFmtId="0" fontId="15" fillId="0" borderId="2" xfId="0" applyFont="1" applyBorder="1"/>
    <xf numFmtId="43" fontId="15" fillId="0" borderId="1" xfId="0" applyNumberFormat="1" applyFont="1" applyBorder="1"/>
    <xf numFmtId="43" fontId="17" fillId="0" borderId="2" xfId="0" applyNumberFormat="1" applyFont="1" applyBorder="1"/>
    <xf numFmtId="0" fontId="15" fillId="6" borderId="8" xfId="0" applyFont="1" applyFill="1" applyBorder="1" applyAlignment="1">
      <alignment wrapText="1"/>
    </xf>
    <xf numFmtId="0" fontId="15" fillId="7" borderId="14" xfId="0" applyFont="1" applyFill="1" applyBorder="1" applyAlignment="1">
      <alignment wrapText="1"/>
    </xf>
    <xf numFmtId="3" fontId="15" fillId="0" borderId="3" xfId="0" applyNumberFormat="1" applyFont="1" applyBorder="1"/>
    <xf numFmtId="3" fontId="15" fillId="0" borderId="1" xfId="0" applyNumberFormat="1" applyFont="1" applyBorder="1"/>
    <xf numFmtId="0" fontId="15" fillId="7" borderId="8" xfId="0" applyFont="1" applyFill="1" applyBorder="1" applyAlignment="1">
      <alignment wrapText="1"/>
    </xf>
    <xf numFmtId="43" fontId="15" fillId="0" borderId="3" xfId="0" applyNumberFormat="1" applyFont="1" applyBorder="1"/>
    <xf numFmtId="0" fontId="15" fillId="8" borderId="1" xfId="0" applyFont="1" applyFill="1" applyBorder="1" applyAlignment="1">
      <alignment wrapText="1"/>
    </xf>
    <xf numFmtId="4" fontId="17" fillId="0" borderId="3" xfId="0" applyNumberFormat="1" applyFont="1" applyBorder="1"/>
    <xf numFmtId="4" fontId="17" fillId="0" borderId="1" xfId="0" applyNumberFormat="1" applyFont="1" applyBorder="1"/>
    <xf numFmtId="4" fontId="17" fillId="0" borderId="2" xfId="0" applyNumberFormat="1" applyFont="1" applyBorder="1"/>
    <xf numFmtId="0" fontId="15" fillId="9" borderId="14" xfId="0" applyFont="1" applyFill="1" applyBorder="1" applyAlignment="1">
      <alignment wrapText="1"/>
    </xf>
    <xf numFmtId="0" fontId="15" fillId="3" borderId="10" xfId="0" applyFont="1" applyFill="1" applyBorder="1" applyAlignment="1">
      <alignment horizontal="center" wrapText="1"/>
    </xf>
    <xf numFmtId="0" fontId="15" fillId="3" borderId="11" xfId="0" applyFont="1" applyFill="1" applyBorder="1" applyAlignment="1">
      <alignment horizontal="center" wrapText="1"/>
    </xf>
    <xf numFmtId="43" fontId="17" fillId="0" borderId="1" xfId="1" applyFont="1" applyFill="1" applyBorder="1"/>
    <xf numFmtId="0" fontId="15" fillId="9" borderId="18" xfId="0" applyFont="1" applyFill="1" applyBorder="1" applyAlignment="1">
      <alignment wrapText="1"/>
    </xf>
    <xf numFmtId="0" fontId="15" fillId="3" borderId="5" xfId="0" applyFont="1" applyFill="1" applyBorder="1" applyAlignment="1">
      <alignment horizontal="center" wrapText="1"/>
    </xf>
    <xf numFmtId="0" fontId="15" fillId="3" borderId="12" xfId="0" applyFont="1" applyFill="1" applyBorder="1" applyAlignment="1">
      <alignment horizontal="center" wrapText="1"/>
    </xf>
    <xf numFmtId="0" fontId="15" fillId="9" borderId="8" xfId="0" applyFont="1" applyFill="1" applyBorder="1" applyAlignment="1">
      <alignment wrapText="1"/>
    </xf>
    <xf numFmtId="0" fontId="15" fillId="3" borderId="9" xfId="0" applyFont="1" applyFill="1" applyBorder="1" applyAlignment="1">
      <alignment horizontal="center" wrapText="1"/>
    </xf>
    <xf numFmtId="0" fontId="15" fillId="3" borderId="7" xfId="0" applyFont="1" applyFill="1" applyBorder="1" applyAlignment="1">
      <alignment horizontal="center" wrapText="1"/>
    </xf>
    <xf numFmtId="0" fontId="15" fillId="2" borderId="14" xfId="0" applyFont="1" applyFill="1" applyBorder="1" applyAlignment="1">
      <alignment wrapText="1"/>
    </xf>
    <xf numFmtId="0" fontId="15" fillId="0" borderId="1" xfId="0" applyFont="1" applyFill="1" applyBorder="1" applyAlignment="1">
      <alignment wrapText="1"/>
    </xf>
    <xf numFmtId="0" fontId="15" fillId="0" borderId="2" xfId="0" applyFont="1" applyFill="1" applyBorder="1"/>
    <xf numFmtId="0" fontId="15" fillId="2" borderId="18" xfId="0" applyFont="1" applyFill="1" applyBorder="1" applyAlignment="1">
      <alignment wrapText="1"/>
    </xf>
    <xf numFmtId="167" fontId="15" fillId="0" borderId="3" xfId="2" applyNumberFormat="1" applyFont="1" applyFill="1" applyBorder="1"/>
    <xf numFmtId="167" fontId="15" fillId="0" borderId="1" xfId="2" applyNumberFormat="1" applyFont="1" applyFill="1" applyBorder="1"/>
    <xf numFmtId="167" fontId="15" fillId="0" borderId="2" xfId="2" applyNumberFormat="1" applyFont="1" applyFill="1" applyBorder="1"/>
    <xf numFmtId="0" fontId="15" fillId="0" borderId="3" xfId="0" applyFont="1" applyFill="1" applyBorder="1"/>
    <xf numFmtId="0" fontId="15" fillId="0" borderId="1" xfId="0" applyFont="1" applyFill="1" applyBorder="1"/>
    <xf numFmtId="0" fontId="15" fillId="2" borderId="8" xfId="0" applyFont="1" applyFill="1" applyBorder="1" applyAlignment="1">
      <alignment wrapText="1"/>
    </xf>
    <xf numFmtId="0" fontId="15" fillId="0" borderId="3" xfId="0" applyFont="1" applyFill="1" applyBorder="1" applyAlignment="1">
      <alignment wrapText="1"/>
    </xf>
    <xf numFmtId="2" fontId="15" fillId="0" borderId="3" xfId="2" applyNumberFormat="1" applyFont="1" applyFill="1" applyBorder="1"/>
    <xf numFmtId="2" fontId="15" fillId="0" borderId="1" xfId="2" applyNumberFormat="1" applyFont="1" applyFill="1" applyBorder="1"/>
    <xf numFmtId="2" fontId="15" fillId="0" borderId="2" xfId="2" applyNumberFormat="1" applyFont="1" applyFill="1" applyBorder="1"/>
    <xf numFmtId="0" fontId="15" fillId="10" borderId="1" xfId="0" applyFont="1" applyFill="1" applyBorder="1" applyAlignment="1">
      <alignment wrapText="1"/>
    </xf>
    <xf numFmtId="170" fontId="15" fillId="5" borderId="3" xfId="1" applyNumberFormat="1" applyFont="1" applyFill="1" applyBorder="1"/>
    <xf numFmtId="170" fontId="15" fillId="5" borderId="1" xfId="1" applyNumberFormat="1" applyFont="1" applyFill="1" applyBorder="1"/>
    <xf numFmtId="170" fontId="15" fillId="5" borderId="2" xfId="1" applyNumberFormat="1" applyFont="1" applyFill="1" applyBorder="1"/>
    <xf numFmtId="0" fontId="15" fillId="11" borderId="1" xfId="0" applyFont="1" applyFill="1" applyBorder="1" applyAlignment="1">
      <alignment wrapText="1"/>
    </xf>
    <xf numFmtId="0" fontId="17" fillId="5" borderId="3" xfId="0" applyFont="1" applyFill="1" applyBorder="1"/>
    <xf numFmtId="0" fontId="17" fillId="5" borderId="1" xfId="0" applyFont="1" applyFill="1" applyBorder="1"/>
    <xf numFmtId="0" fontId="17" fillId="5" borderId="2" xfId="0" applyFont="1" applyFill="1" applyBorder="1"/>
    <xf numFmtId="0" fontId="15" fillId="12" borderId="14" xfId="0" applyFont="1" applyFill="1" applyBorder="1" applyAlignment="1">
      <alignment wrapText="1"/>
    </xf>
    <xf numFmtId="3" fontId="15" fillId="0" borderId="2" xfId="0" applyNumberFormat="1" applyFont="1" applyBorder="1"/>
    <xf numFmtId="0" fontId="15" fillId="12" borderId="18" xfId="0" applyFont="1" applyFill="1" applyBorder="1" applyAlignment="1">
      <alignment wrapText="1"/>
    </xf>
    <xf numFmtId="9" fontId="15" fillId="5" borderId="3" xfId="2" applyFont="1" applyFill="1" applyBorder="1"/>
    <xf numFmtId="9" fontId="15" fillId="5" borderId="1" xfId="2" applyFont="1" applyFill="1" applyBorder="1"/>
    <xf numFmtId="0" fontId="15" fillId="12" borderId="8" xfId="0" applyFont="1" applyFill="1" applyBorder="1" applyAlignment="1">
      <alignment wrapText="1"/>
    </xf>
    <xf numFmtId="0" fontId="15" fillId="0" borderId="11" xfId="0" applyFont="1" applyBorder="1" applyAlignment="1">
      <alignment wrapText="1"/>
    </xf>
    <xf numFmtId="0" fontId="15" fillId="0" borderId="14" xfId="0" applyFont="1" applyBorder="1"/>
    <xf numFmtId="9" fontId="15" fillId="5" borderId="11" xfId="2" applyFont="1" applyFill="1" applyBorder="1"/>
    <xf numFmtId="9" fontId="15" fillId="5" borderId="14" xfId="2" applyFont="1" applyFill="1" applyBorder="1"/>
    <xf numFmtId="0" fontId="0" fillId="13" borderId="10" xfId="0" applyFill="1" applyBorder="1" applyAlignment="1">
      <alignment horizontal="center" vertical="center" wrapText="1"/>
    </xf>
    <xf numFmtId="0" fontId="0" fillId="13" borderId="15" xfId="0" applyFill="1" applyBorder="1" applyAlignment="1">
      <alignment horizontal="center" vertical="center" wrapText="1"/>
    </xf>
    <xf numFmtId="0" fontId="0" fillId="13" borderId="11" xfId="0" applyFill="1" applyBorder="1" applyAlignment="1">
      <alignment horizontal="center" vertical="center" wrapText="1"/>
    </xf>
    <xf numFmtId="0" fontId="0" fillId="13" borderId="5" xfId="0" applyFill="1" applyBorder="1" applyAlignment="1">
      <alignment horizontal="center" vertical="center" wrapText="1"/>
    </xf>
    <xf numFmtId="0" fontId="0" fillId="13" borderId="0" xfId="0" applyFill="1" applyBorder="1" applyAlignment="1">
      <alignment horizontal="center" vertical="center" wrapText="1"/>
    </xf>
    <xf numFmtId="0" fontId="0" fillId="13" borderId="12" xfId="0" applyFill="1" applyBorder="1" applyAlignment="1">
      <alignment horizontal="center" vertical="center" wrapText="1"/>
    </xf>
    <xf numFmtId="0" fontId="0" fillId="13" borderId="9" xfId="0" applyFill="1" applyBorder="1" applyAlignment="1">
      <alignment horizontal="center" vertical="center" wrapText="1"/>
    </xf>
    <xf numFmtId="0" fontId="0" fillId="13" borderId="17" xfId="0" applyFill="1" applyBorder="1" applyAlignment="1">
      <alignment horizontal="center" vertical="center" wrapText="1"/>
    </xf>
    <xf numFmtId="0" fontId="0" fillId="13" borderId="7" xfId="0" applyFill="1" applyBorder="1" applyAlignment="1">
      <alignment horizontal="center" vertical="center" wrapText="1"/>
    </xf>
    <xf numFmtId="0" fontId="13" fillId="13" borderId="0" xfId="0" applyFont="1" applyFill="1" applyBorder="1" applyAlignment="1">
      <alignment horizontal="center" vertical="center"/>
    </xf>
    <xf numFmtId="0" fontId="13" fillId="13" borderId="12" xfId="0" applyFont="1" applyFill="1" applyBorder="1" applyAlignment="1">
      <alignment horizontal="center" vertical="center"/>
    </xf>
    <xf numFmtId="0" fontId="13" fillId="13" borderId="0" xfId="0" applyFont="1" applyFill="1" applyBorder="1" applyAlignment="1">
      <alignment horizontal="center" vertical="center" wrapText="1"/>
    </xf>
    <xf numFmtId="0" fontId="13" fillId="13" borderId="12" xfId="0" applyFont="1" applyFill="1" applyBorder="1" applyAlignment="1">
      <alignment horizontal="center" vertical="center" wrapText="1"/>
    </xf>
    <xf numFmtId="0" fontId="3" fillId="0" borderId="2"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center"/>
    </xf>
    <xf numFmtId="0" fontId="9" fillId="0" borderId="2" xfId="0" applyFont="1" applyFill="1" applyBorder="1" applyAlignment="1">
      <alignment horizontal="center"/>
    </xf>
    <xf numFmtId="0" fontId="9" fillId="0" borderId="3" xfId="0" applyFont="1" applyFill="1" applyBorder="1" applyAlignment="1">
      <alignment horizontal="center"/>
    </xf>
    <xf numFmtId="0" fontId="0" fillId="13" borderId="10" xfId="0" applyFill="1" applyBorder="1" applyAlignment="1">
      <alignment horizontal="center" wrapText="1"/>
    </xf>
    <xf numFmtId="0" fontId="0" fillId="13" borderId="15" xfId="0" applyFill="1" applyBorder="1" applyAlignment="1">
      <alignment horizontal="center" wrapText="1"/>
    </xf>
    <xf numFmtId="0" fontId="0" fillId="13" borderId="11" xfId="0" applyFill="1" applyBorder="1" applyAlignment="1">
      <alignment horizontal="center" wrapText="1"/>
    </xf>
    <xf numFmtId="0" fontId="0" fillId="13" borderId="5" xfId="0" applyFill="1" applyBorder="1" applyAlignment="1">
      <alignment horizontal="center" wrapText="1"/>
    </xf>
    <xf numFmtId="0" fontId="0" fillId="13" borderId="0" xfId="0" applyFill="1" applyBorder="1" applyAlignment="1">
      <alignment horizontal="center" wrapText="1"/>
    </xf>
    <xf numFmtId="0" fontId="0" fillId="13" borderId="12" xfId="0" applyFill="1" applyBorder="1" applyAlignment="1">
      <alignment horizontal="center" wrapText="1"/>
    </xf>
    <xf numFmtId="0" fontId="9" fillId="0" borderId="2" xfId="0" applyFont="1" applyBorder="1" applyAlignment="1">
      <alignment horizontal="center"/>
    </xf>
    <xf numFmtId="0" fontId="9" fillId="0" borderId="4" xfId="0" applyFont="1" applyBorder="1" applyAlignment="1">
      <alignment horizontal="center"/>
    </xf>
    <xf numFmtId="0" fontId="9" fillId="0" borderId="3" xfId="0" applyFont="1" applyBorder="1" applyAlignment="1">
      <alignment horizontal="center"/>
    </xf>
    <xf numFmtId="0" fontId="0" fillId="13" borderId="2" xfId="0" applyFill="1" applyBorder="1" applyAlignment="1">
      <alignment horizontal="center" vertical="top" wrapText="1"/>
    </xf>
    <xf numFmtId="0" fontId="0" fillId="13" borderId="4" xfId="0" applyFill="1" applyBorder="1" applyAlignment="1">
      <alignment horizontal="center" vertical="top" wrapText="1"/>
    </xf>
    <xf numFmtId="0" fontId="0" fillId="13" borderId="3" xfId="0" applyFill="1" applyBorder="1" applyAlignment="1">
      <alignment horizontal="center" vertical="top" wrapText="1"/>
    </xf>
    <xf numFmtId="0" fontId="0" fillId="13" borderId="10" xfId="0" applyFill="1" applyBorder="1" applyAlignment="1">
      <alignment horizontal="center" vertical="top" wrapText="1"/>
    </xf>
    <xf numFmtId="0" fontId="0" fillId="13" borderId="15" xfId="0" applyFill="1" applyBorder="1" applyAlignment="1">
      <alignment horizontal="center" vertical="top"/>
    </xf>
    <xf numFmtId="0" fontId="0" fillId="13" borderId="11" xfId="0" applyFill="1" applyBorder="1" applyAlignment="1">
      <alignment horizontal="center" vertical="top"/>
    </xf>
    <xf numFmtId="0" fontId="0" fillId="13" borderId="5" xfId="0" applyFill="1" applyBorder="1" applyAlignment="1">
      <alignment horizontal="center" vertical="top"/>
    </xf>
    <xf numFmtId="0" fontId="0" fillId="13" borderId="0" xfId="0" applyFill="1" applyBorder="1" applyAlignment="1">
      <alignment horizontal="center" vertical="top"/>
    </xf>
    <xf numFmtId="0" fontId="0" fillId="13" borderId="12" xfId="0" applyFill="1" applyBorder="1" applyAlignment="1">
      <alignment horizontal="center" vertical="top"/>
    </xf>
    <xf numFmtId="0" fontId="0" fillId="13" borderId="9" xfId="0" applyFill="1" applyBorder="1" applyAlignment="1">
      <alignment horizontal="center" vertical="top"/>
    </xf>
    <xf numFmtId="0" fontId="0" fillId="13" borderId="17" xfId="0" applyFill="1" applyBorder="1" applyAlignment="1">
      <alignment horizontal="center" vertical="top"/>
    </xf>
    <xf numFmtId="0" fontId="0" fillId="13" borderId="7" xfId="0" applyFill="1" applyBorder="1" applyAlignment="1">
      <alignment horizontal="center" vertical="top"/>
    </xf>
    <xf numFmtId="0" fontId="2" fillId="0" borderId="2" xfId="0" applyFont="1" applyBorder="1" applyAlignment="1">
      <alignment horizontal="center"/>
    </xf>
    <xf numFmtId="0" fontId="2" fillId="0" borderId="4" xfId="0" applyFont="1" applyBorder="1" applyAlignment="1">
      <alignment horizontal="center"/>
    </xf>
    <xf numFmtId="0" fontId="2" fillId="0" borderId="3" xfId="0" applyFont="1" applyBorder="1" applyAlignment="1">
      <alignment horizontal="center"/>
    </xf>
    <xf numFmtId="0" fontId="2" fillId="0" borderId="10" xfId="0" applyFont="1" applyBorder="1" applyAlignment="1">
      <alignment horizontal="center"/>
    </xf>
    <xf numFmtId="0" fontId="2" fillId="0" borderId="11" xfId="0" applyFont="1" applyBorder="1" applyAlignment="1">
      <alignment horizontal="center"/>
    </xf>
    <xf numFmtId="0" fontId="0" fillId="13" borderId="15" xfId="0" applyFill="1" applyBorder="1" applyAlignment="1">
      <alignment horizontal="center" vertical="top" wrapText="1"/>
    </xf>
    <xf numFmtId="0" fontId="0" fillId="13" borderId="11" xfId="0" applyFill="1" applyBorder="1" applyAlignment="1">
      <alignment horizontal="center" vertical="top" wrapText="1"/>
    </xf>
    <xf numFmtId="0" fontId="0" fillId="13" borderId="5" xfId="0" applyFill="1" applyBorder="1" applyAlignment="1">
      <alignment horizontal="center" vertical="top" wrapText="1"/>
    </xf>
    <xf numFmtId="0" fontId="0" fillId="13" borderId="0" xfId="0" applyFill="1" applyBorder="1" applyAlignment="1">
      <alignment horizontal="center" vertical="top" wrapText="1"/>
    </xf>
    <xf numFmtId="0" fontId="0" fillId="13" borderId="12" xfId="0" applyFill="1" applyBorder="1" applyAlignment="1">
      <alignment horizontal="center" vertical="top" wrapText="1"/>
    </xf>
    <xf numFmtId="0" fontId="3" fillId="13" borderId="5" xfId="0" applyFont="1" applyFill="1" applyBorder="1" applyAlignment="1">
      <alignment horizontal="center" vertical="top"/>
    </xf>
    <xf numFmtId="0" fontId="3" fillId="13" borderId="0" xfId="0" applyFont="1" applyFill="1" applyBorder="1" applyAlignment="1">
      <alignment horizontal="center" vertical="top"/>
    </xf>
    <xf numFmtId="0" fontId="3" fillId="13" borderId="12" xfId="0" applyFont="1" applyFill="1" applyBorder="1" applyAlignment="1">
      <alignment horizontal="center" vertical="top"/>
    </xf>
    <xf numFmtId="0" fontId="3" fillId="13" borderId="5" xfId="0" applyFont="1" applyFill="1" applyBorder="1" applyAlignment="1">
      <alignment horizontal="center" wrapText="1"/>
    </xf>
    <xf numFmtId="0" fontId="3" fillId="13" borderId="0" xfId="0" applyFont="1" applyFill="1" applyBorder="1" applyAlignment="1">
      <alignment horizontal="center" wrapText="1"/>
    </xf>
    <xf numFmtId="0" fontId="3" fillId="13" borderId="12" xfId="0" applyFont="1" applyFill="1" applyBorder="1" applyAlignment="1">
      <alignment horizontal="center" wrapText="1"/>
    </xf>
    <xf numFmtId="0" fontId="2" fillId="0" borderId="15" xfId="0" applyFont="1" applyBorder="1" applyAlignment="1">
      <alignment horizontal="center"/>
    </xf>
    <xf numFmtId="0" fontId="3" fillId="0" borderId="10" xfId="0" applyFont="1" applyBorder="1" applyAlignment="1">
      <alignment horizontal="center"/>
    </xf>
    <xf numFmtId="0" fontId="3" fillId="0" borderId="15" xfId="0" applyFont="1" applyBorder="1" applyAlignment="1">
      <alignment horizontal="center"/>
    </xf>
    <xf numFmtId="0" fontId="3" fillId="0" borderId="11" xfId="0" applyFont="1" applyBorder="1" applyAlignment="1">
      <alignment horizontal="center"/>
    </xf>
    <xf numFmtId="0" fontId="9" fillId="0" borderId="0" xfId="0" applyFont="1" applyAlignment="1">
      <alignment horizontal="center"/>
    </xf>
  </cellXfs>
  <cellStyles count="4">
    <cellStyle name="Comma" xfId="1" builtinId="3"/>
    <cellStyle name="Input" xfId="3" builtinId="20"/>
    <cellStyle name="Normal" xfId="0" builtinId="0"/>
    <cellStyle name="Percent" xfId="2" builtinId="5"/>
  </cellStyles>
  <dxfs count="352">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indexed="65"/>
        </patternFill>
      </fill>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ill>
        <patternFill patternType="none">
          <fgColor indexed="64"/>
          <bgColor indexed="65"/>
        </patternFill>
      </fill>
      <border diagonalUp="0" diagonalDown="0" outline="0">
        <left/>
        <right style="thin">
          <color indexed="64"/>
        </right>
        <top style="thin">
          <color indexed="64"/>
        </top>
        <bottom/>
      </border>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numFmt numFmtId="35" formatCode="_(* #,##0.00_);_(* \(#,##0.00\);_(* &quot;-&quot;??_);_(@_)"/>
      <fill>
        <patternFill patternType="solid">
          <fgColor indexed="64"/>
          <bgColor rgb="FFFFFF00"/>
        </patternFill>
      </fill>
      <border diagonalUp="0" diagonalDown="0" outline="0">
        <left style="thin">
          <color indexed="64"/>
        </left>
        <right/>
        <top style="thin">
          <color indexed="64"/>
        </top>
        <bottom/>
      </border>
    </dxf>
    <dxf>
      <numFmt numFmtId="35" formatCode="_(* #,##0.00_);_(* \(#,##0.00\);_(* &quot;-&quot;??_);_(@_)"/>
      <border diagonalUp="0" diagonalDown="0">
        <left style="thin">
          <color indexed="64"/>
        </left>
        <right/>
        <top style="thin">
          <color indexed="64"/>
        </top>
        <bottom style="thin">
          <color indexed="64"/>
        </bottom>
        <vertical/>
        <horizontal/>
      </border>
    </dxf>
    <dxf>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style="thin">
          <color indexed="64"/>
        </left>
        <right style="thin">
          <color indexed="64"/>
        </right>
        <top/>
        <bottom/>
      </border>
    </dxf>
    <dxf>
      <numFmt numFmtId="35" formatCode="_(* #,##0.00_);_(* \(#,##0.00\);_(* &quot;-&quot;??_);_(@_)"/>
      <border diagonalUp="0" diagonalDown="0" outline="0">
        <left style="thin">
          <color indexed="64"/>
        </left>
        <right/>
        <top style="thin">
          <color indexed="64"/>
        </top>
        <bottom/>
      </border>
    </dxf>
    <dxf>
      <numFmt numFmtId="35" formatCode="_(* #,##0.00_);_(* \(#,##0.00\);_(* &quot;-&quot;??_);_(@_)"/>
      <border diagonalUp="0" diagonalDown="0">
        <left style="thin">
          <color indexed="64"/>
        </left>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style="thin">
          <color indexed="64"/>
        </left>
        <right style="thin">
          <color indexed="64"/>
        </right>
        <top/>
        <bottom/>
      </border>
    </dxf>
    <dxf>
      <numFmt numFmtId="35" formatCode="_(* #,##0.00_);_(* \(#,##0.00\);_(* &quot;-&quot;??_);_(@_)"/>
      <border diagonalUp="0" diagonalDown="0" outline="0">
        <left style="thin">
          <color indexed="64"/>
        </left>
        <right/>
        <top style="thin">
          <color indexed="64"/>
        </top>
        <bottom/>
      </border>
    </dxf>
    <dxf>
      <numFmt numFmtId="35" formatCode="_(* #,##0.00_);_(* \(#,##0.00\);_(* &quot;-&quot;??_);_(@_)"/>
      <border diagonalUp="0" diagonalDown="0">
        <left style="thin">
          <color indexed="64"/>
        </left>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style="thin">
          <color indexed="64"/>
        </left>
        <right style="thin">
          <color indexed="64"/>
        </right>
        <top/>
        <bottom/>
      </border>
    </dxf>
    <dxf>
      <fill>
        <patternFill patternType="solid">
          <fgColor indexed="64"/>
          <bgColor rgb="FFFFFF00"/>
        </patternFill>
      </fill>
      <border diagonalUp="0" diagonalDown="0" outline="0">
        <left style="thin">
          <color indexed="64"/>
        </left>
        <right/>
        <top style="thin">
          <color indexed="64"/>
        </top>
        <bottom style="thin">
          <color indexed="64"/>
        </bottom>
      </border>
    </dxf>
    <dxf>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numFmt numFmtId="35" formatCode="_(* #,##0.00_);_(* \(#,##0.00\);_(* &quot;-&quot;??_);_(@_)"/>
      <fill>
        <patternFill patternType="solid">
          <fgColor indexed="64"/>
          <bgColor rgb="FFFFFF00"/>
        </patternFill>
      </fill>
      <border diagonalUp="0" diagonalDown="0" outline="0">
        <left style="thin">
          <color indexed="64"/>
        </left>
        <right/>
        <top/>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right style="thin">
          <color indexed="64"/>
        </right>
        <top/>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rgb="FF000000"/>
        <name val="Calibri"/>
        <family val="2"/>
        <scheme val="none"/>
      </font>
      <numFmt numFmtId="165" formatCode="_(* #,##0.0000_);_(* \(#,##0.0000\);_(* &quot;-&quot;??_);_(@_)"/>
      <fill>
        <patternFill patternType="solid">
          <fgColor indexed="64"/>
          <bgColor rgb="FFFFFF00"/>
        </patternFill>
      </fill>
      <border diagonalUp="0" diagonalDown="0" outline="0">
        <left style="thin">
          <color indexed="64"/>
        </left>
        <right/>
        <top style="thin">
          <color indexed="64"/>
        </top>
        <bottom/>
      </border>
    </dxf>
    <dxf>
      <font>
        <b val="0"/>
        <i val="0"/>
        <strike val="0"/>
        <condense val="0"/>
        <extend val="0"/>
        <outline val="0"/>
        <shadow val="0"/>
        <u val="none"/>
        <vertAlign val="baseline"/>
        <sz val="11"/>
        <color rgb="FF000000"/>
        <name val="Calibri"/>
        <family val="2"/>
        <scheme val="none"/>
      </font>
      <numFmt numFmtId="165" formatCode="_(* #,##0.0000_);_(* \(#,##0.0000\);_(* &quot;-&quot;??_);_(@_)"/>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solid">
          <fgColor indexed="64"/>
          <bgColor rgb="FFFFFF00"/>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solid">
          <fgColor indexed="64"/>
          <bgColor rgb="FFFFFF00"/>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family val="2"/>
        <scheme val="none"/>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rgb="FF000000"/>
        <name val="Calibri"/>
        <family val="2"/>
        <scheme val="none"/>
      </font>
      <border diagonalUp="0" diagonalDown="0" outline="0">
        <left style="thin">
          <color indexed="64"/>
        </left>
        <right/>
        <top/>
        <bottom/>
      </border>
    </dxf>
    <dxf>
      <font>
        <b val="0"/>
        <i val="0"/>
        <strike val="0"/>
        <condense val="0"/>
        <extend val="0"/>
        <outline val="0"/>
        <shadow val="0"/>
        <u val="none"/>
        <vertAlign val="baseline"/>
        <sz val="11"/>
        <color rgb="FF000000"/>
        <name val="Calibri"/>
        <family val="2"/>
        <scheme val="none"/>
      </font>
      <numFmt numFmtId="165" formatCode="_(* #,##0.0000_);_(* \(#,##0.0000\);_(* &quot;-&quot;??_);_(@_)"/>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0" formatCode="General"/>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0" formatCode="General"/>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family val="2"/>
        <scheme val="none"/>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1"/>
        <color auto="1"/>
        <name val="Calibri"/>
        <family val="2"/>
        <scheme val="minor"/>
      </font>
      <fill>
        <patternFill patternType="none">
          <fgColor indexed="64"/>
          <bgColor auto="1"/>
        </patternFill>
      </fill>
    </dxf>
    <dxf>
      <border diagonalUp="0" diagonalDown="0" outline="0">
        <left/>
        <right style="thin">
          <color rgb="FF7F7F7F"/>
        </right>
        <top style="thin">
          <color indexed="64"/>
        </top>
        <bottom style="thin">
          <color indexed="64"/>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border diagonalUp="0" diagonalDown="0" outline="0">
        <left style="thin">
          <color indexed="64"/>
        </left>
        <right style="thin">
          <color indexed="64"/>
        </right>
        <top/>
        <bottom/>
      </border>
    </dxf>
    <dxf>
      <font>
        <b val="0"/>
        <i val="0"/>
        <strike val="0"/>
        <condense val="0"/>
        <extend val="0"/>
        <outline val="0"/>
        <shadow val="0"/>
        <u val="none"/>
        <vertAlign val="baseline"/>
        <sz val="11"/>
        <color rgb="FF000000"/>
        <name val="Calibri"/>
        <family val="2"/>
        <scheme val="none"/>
      </font>
      <border diagonalUp="0" diagonalDown="0" outline="0">
        <left style="thin">
          <color indexed="64"/>
        </left>
        <right/>
        <top/>
        <bottom/>
      </border>
    </dxf>
    <dxf>
      <font>
        <b val="0"/>
        <i val="0"/>
        <strike val="0"/>
        <condense val="0"/>
        <extend val="0"/>
        <outline val="0"/>
        <shadow val="0"/>
        <u val="none"/>
        <vertAlign val="baseline"/>
        <sz val="11"/>
        <color rgb="FF000000"/>
        <name val="Calibri"/>
        <family val="2"/>
        <scheme val="none"/>
      </font>
      <numFmt numFmtId="165" formatCode="_(* #,##0.0000_);_(* \(#,##0.0000\);_(* &quot;-&quot;??_);_(@_)"/>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0" formatCode="General"/>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0" formatCode="General"/>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family val="2"/>
        <scheme val="none"/>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vertical/>
        <horizontal/>
      </border>
    </dxf>
    <dxf>
      <border outline="0">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border diagonalUp="0" diagonalDown="0" outline="0">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font>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font>
        <b/>
        <i val="0"/>
        <strike val="0"/>
        <condense val="0"/>
        <extend val="0"/>
        <outline val="0"/>
        <shadow val="0"/>
        <u val="none"/>
        <vertAlign val="baseline"/>
        <sz val="11"/>
        <color auto="1"/>
        <name val="Calibri"/>
        <family val="2"/>
        <scheme val="minor"/>
      </font>
      <fill>
        <patternFill patternType="none">
          <fgColor indexed="64"/>
          <bgColor indexed="65"/>
        </patternFill>
      </fill>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0"/>
        <name val="Calibri"/>
        <family val="2"/>
        <scheme val="minor"/>
      </font>
      <fill>
        <patternFill patternType="none">
          <fgColor indexed="64"/>
          <bgColor indexed="65"/>
        </patternFill>
      </fill>
      <border diagonalUp="0" diagonalDown="0" outline="0">
        <left style="thin">
          <color indexed="64"/>
        </left>
        <right style="thin">
          <color indexed="64"/>
        </right>
        <top/>
        <bottom/>
      </border>
    </dxf>
    <dxf>
      <numFmt numFmtId="169" formatCode="0.0%"/>
    </dxf>
    <dxf>
      <numFmt numFmtId="169" formatCode="0.0%"/>
    </dxf>
    <dxf>
      <font>
        <b val="0"/>
        <i val="0"/>
        <strike val="0"/>
        <condense val="0"/>
        <extend val="0"/>
        <outline val="0"/>
        <shadow val="0"/>
        <u val="none"/>
        <vertAlign val="baseline"/>
        <sz val="11"/>
        <color theme="1"/>
        <name val="Calibri"/>
        <family val="2"/>
        <scheme val="minor"/>
      </font>
    </dxf>
    <dxf>
      <border diagonalUp="0" diagonalDown="0">
        <left style="thin">
          <color indexed="64"/>
        </left>
        <right style="thin">
          <color indexed="64"/>
        </right>
        <top style="thin">
          <color indexed="64"/>
        </top>
        <bottom style="thin">
          <color indexed="64"/>
        </bottom>
      </border>
    </dxf>
    <dxf>
      <font>
        <b val="0"/>
      </font>
    </dxf>
    <dxf>
      <font>
        <b val="0"/>
        <i val="0"/>
        <strike val="0"/>
        <condense val="0"/>
        <extend val="0"/>
        <outline val="0"/>
        <shadow val="0"/>
        <u val="none"/>
        <vertAlign val="baseline"/>
        <sz val="11"/>
        <color theme="1"/>
        <name val="Calibri"/>
        <family val="2"/>
        <scheme val="minor"/>
      </font>
    </dxf>
    <dxf>
      <border diagonalUp="0" diagonalDown="0">
        <left style="thin">
          <color indexed="64"/>
        </left>
        <right style="thin">
          <color indexed="64"/>
        </right>
        <top style="thin">
          <color indexed="64"/>
        </top>
        <bottom style="thin">
          <color indexed="64"/>
        </bottom>
      </border>
    </dxf>
    <dxf>
      <font>
        <b val="0"/>
      </font>
    </dxf>
    <dxf>
      <font>
        <b/>
      </font>
    </dxf>
    <dxf>
      <numFmt numFmtId="165" formatCode="_(* #,##0.0000_);_(* \(#,##0.0000\);_(* &quot;-&quot;??_);_(@_)"/>
      <fill>
        <patternFill patternType="solid">
          <fgColor indexed="64"/>
          <bgColor rgb="FFFFFF00"/>
        </patternFill>
      </fill>
      <border diagonalUp="0" diagonalDown="0" outline="0">
        <left style="thin">
          <color indexed="64"/>
        </left>
        <right/>
        <top style="thin">
          <color indexed="64"/>
        </top>
        <bottom style="thin">
          <color indexed="64"/>
        </bottom>
      </border>
    </dxf>
    <dxf>
      <numFmt numFmtId="165" formatCode="_(* #,##0.0000_);_(* \(#,##0.0000\);_(* &quot;-&quot;??_);_(@_)"/>
      <fill>
        <patternFill patternType="solid">
          <fgColor indexed="64"/>
          <bgColor rgb="FFFFFF00"/>
        </patternFill>
      </fill>
      <border outline="0">
        <left style="thin">
          <color indexed="64"/>
        </left>
        <right style="thin">
          <color indexed="64"/>
        </right>
      </border>
    </dxf>
    <dxf>
      <numFmt numFmtId="165" formatCode="_(* #,##0.0000_);_(* \(#,##0.0000\);_(* &quot;-&quot;??_);_(@_)"/>
      <fill>
        <patternFill patternType="solid">
          <fgColor indexed="64"/>
          <bgColor rgb="FFFFFF00"/>
        </patternFill>
      </fill>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border diagonalUp="0" diagonalDown="0">
        <left style="thin">
          <color indexed="64"/>
        </left>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font>
      <fill>
        <patternFill patternType="none">
          <fgColor indexed="64"/>
          <bgColor indexed="65"/>
        </patternFill>
      </fill>
      <border diagonalUp="0" diagonalDown="0" outline="0">
        <left style="thin">
          <color indexed="64"/>
        </left>
        <right/>
        <top style="thin">
          <color indexed="64"/>
        </top>
        <bottom style="thin">
          <color indexed="64"/>
        </bottom>
      </border>
    </dxf>
    <dxf>
      <font>
        <b val="0"/>
      </font>
      <fill>
        <patternFill patternType="none">
          <fgColor indexed="64"/>
          <bgColor indexed="65"/>
        </patternFill>
      </fill>
      <border diagonalUp="0" diagonalDown="0" outline="0">
        <left style="thin">
          <color indexed="64"/>
        </left>
        <right style="thin">
          <color indexed="64"/>
        </right>
        <top style="thin">
          <color indexed="64"/>
        </top>
        <bottom style="thin">
          <color indexed="64"/>
        </bottom>
      </border>
    </dxf>
    <dxf>
      <font>
        <b val="0"/>
      </font>
      <fill>
        <patternFill patternType="none">
          <fgColor indexed="64"/>
          <bgColor indexed="65"/>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font>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style="thin">
          <color indexed="64"/>
        </left>
        <right style="thin">
          <color indexed="64"/>
        </right>
        <top/>
        <bottom/>
      </border>
    </dxf>
    <dxf>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fill>
        <patternFill patternType="solid">
          <fgColor indexed="64"/>
          <bgColor rgb="FFFFFF00"/>
        </patternFill>
      </fill>
      <border diagonalUp="0" diagonalDown="0" outline="0">
        <left style="thin">
          <color indexed="64"/>
        </left>
        <right/>
        <top style="thin">
          <color indexed="64"/>
        </top>
        <bottom style="thin">
          <color indexed="64"/>
        </bottom>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ill>
        <patternFill patternType="solid">
          <fgColor indexed="64"/>
          <bgColor rgb="FFFFFF00"/>
        </patternFill>
      </fill>
    </dxf>
    <dxf>
      <fill>
        <patternFill patternType="solid">
          <fgColor indexed="64"/>
          <bgColor rgb="FFFFFF00"/>
        </patternFill>
      </fill>
    </dxf>
    <dxf>
      <font>
        <b val="0"/>
        <i val="0"/>
        <strike val="0"/>
        <condense val="0"/>
        <extend val="0"/>
        <outline val="0"/>
        <shadow val="0"/>
        <u val="none"/>
        <vertAlign val="baseline"/>
        <sz val="11"/>
        <color rgb="FF3F3F76"/>
        <name val="Calibri"/>
        <family val="2"/>
        <scheme val="minor"/>
      </font>
      <fill>
        <patternFill patternType="solid">
          <fgColor indexed="64"/>
          <bgColor rgb="FFFFCC99"/>
        </patternFill>
      </fill>
      <border diagonalUp="0" diagonalDown="0" outline="0">
        <left style="thin">
          <color rgb="FF7F7F7F"/>
        </left>
        <right style="thin">
          <color rgb="FF7F7F7F"/>
        </right>
        <top style="thin">
          <color rgb="FF7F7F7F"/>
        </top>
        <bottom style="thin">
          <color rgb="FF7F7F7F"/>
        </bottom>
      </border>
    </dxf>
    <dxf>
      <border outline="0">
        <right style="thin">
          <color rgb="FF7F7F7F"/>
        </right>
      </border>
    </dxf>
    <dxf>
      <font>
        <b val="0"/>
        <i val="0"/>
        <strike val="0"/>
        <condense val="0"/>
        <extend val="0"/>
        <outline val="0"/>
        <shadow val="0"/>
        <u val="none"/>
        <vertAlign val="baseline"/>
        <sz val="11"/>
        <color rgb="FF3F3F76"/>
        <name val="Calibri"/>
        <family val="2"/>
        <scheme val="minor"/>
      </font>
      <fill>
        <patternFill patternType="solid">
          <fgColor indexed="64"/>
          <bgColor rgb="FFFFCC99"/>
        </patternFill>
      </fill>
      <border diagonalUp="0" diagonalDown="0" outline="0">
        <left style="thin">
          <color rgb="FF7F7F7F"/>
        </left>
        <right style="thin">
          <color rgb="FF7F7F7F"/>
        </right>
        <top style="thin">
          <color rgb="FF7F7F7F"/>
        </top>
        <bottom style="thin">
          <color rgb="FF7F7F7F"/>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border diagonalUp="0" diagonalDown="0" outline="0">
        <left style="thin">
          <color indexed="64"/>
        </left>
        <right style="thin">
          <color indexed="64"/>
        </right>
        <top/>
        <bottom/>
      </border>
    </dxf>
    <dxf>
      <border diagonalUp="0" diagonalDown="0">
        <left style="thin">
          <color indexed="64"/>
        </left>
        <right/>
        <top style="thin">
          <color indexed="64"/>
        </top>
        <bottom style="thin">
          <color indexed="64"/>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ill>
        <patternFill patternType="solid">
          <fgColor indexed="64"/>
          <bgColor rgb="FFFFFF00"/>
        </patternFill>
      </fill>
    </dxf>
    <dxf>
      <fill>
        <patternFill patternType="solid">
          <fgColor indexed="64"/>
          <bgColor rgb="FFFFFF00"/>
        </patternFill>
      </fill>
      <border outline="0">
        <right style="thin">
          <color indexed="64"/>
        </right>
      </border>
    </dxf>
    <dxf>
      <fill>
        <patternFill patternType="solid">
          <fgColor indexed="64"/>
          <bgColor rgb="FFFFFF00"/>
        </patternFill>
      </fill>
      <border outline="0">
        <right style="thin">
          <color indexed="64"/>
        </right>
      </border>
    </dxf>
    <dxf>
      <font>
        <b/>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ill>
        <patternFill patternType="none">
          <fgColor indexed="64"/>
          <bgColor auto="1"/>
        </patternFill>
      </fill>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auto="1"/>
        </patternFill>
      </fill>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none">
          <fgColor indexed="64"/>
          <bgColor auto="1"/>
        </patternFill>
      </fill>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dxf>
    <dxf>
      <border>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35" formatCode="_(* #,##0.00_);_(* \(#,##0.00\);_(* &quot;-&quot;??_);_(@_)"/>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35" formatCode="_(* #,##0.00_);_(* \(#,##0.00\);_(* &quot;-&quot;??_);_(@_)"/>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165" formatCode="_(* #,##0.0000_);_(* \(#,##0.0000\);_(* &quot;-&quot;??_);_(@_)"/>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35" formatCode="_(* #,##0.00_);_(* \(#,##0.00\);_(* &quot;-&quot;??_);_(@_)"/>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35" formatCode="_(* #,##0.00_);_(* \(#,##0.00\);_(* &quot;-&quot;??_);_(@_)"/>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Calibri"/>
        <family val="2"/>
        <scheme val="minor"/>
      </font>
    </dxf>
    <dxf>
      <font>
        <strike val="0"/>
        <outline val="0"/>
        <shadow val="0"/>
        <u val="none"/>
        <vertAlign val="baseline"/>
        <sz val="12"/>
        <name val="Calibri"/>
        <family val="2"/>
        <scheme val="minor"/>
      </font>
    </dxf>
    <dxf>
      <font>
        <strike val="0"/>
        <outline val="0"/>
        <shadow val="0"/>
        <u val="none"/>
        <vertAlign val="baseline"/>
        <sz val="12"/>
        <name val="Calibri"/>
        <family val="2"/>
        <scheme val="minor"/>
      </font>
    </dxf>
    <dxf>
      <font>
        <strike val="0"/>
        <outline val="0"/>
        <shadow val="0"/>
        <u val="none"/>
        <vertAlign val="baseline"/>
        <sz val="12"/>
        <name val="Calibri"/>
        <family val="2"/>
        <scheme val="minor"/>
      </font>
      <border diagonalUp="0" diagonalDown="0" outline="0">
        <left style="thin">
          <color indexed="64"/>
        </left>
        <right style="medium">
          <color indexed="64"/>
        </right>
        <top style="thin">
          <color indexed="64"/>
        </top>
        <bottom style="thin">
          <color indexed="64"/>
        </bottom>
      </border>
    </dxf>
    <dxf>
      <font>
        <strike val="0"/>
        <outline val="0"/>
        <shadow val="0"/>
        <u val="none"/>
        <vertAlign val="baseline"/>
        <sz val="12"/>
        <name val="Calibri"/>
        <family val="2"/>
        <scheme val="minor"/>
      </font>
      <alignment horizontal="general" vertical="bottom" textRotation="0" wrapText="1" indent="0" justifyLastLine="0" shrinkToFit="0" readingOrder="0"/>
      <border diagonalUp="0" diagonalDown="0" outline="0">
        <left/>
        <right style="thin">
          <color indexed="64"/>
        </right>
        <top style="thin">
          <color indexed="64"/>
        </top>
        <bottom style="thin">
          <color indexed="64"/>
        </bottom>
      </border>
    </dxf>
    <dxf>
      <border outline="0">
        <left style="medium">
          <color indexed="64"/>
        </left>
        <right style="thin">
          <color indexed="64"/>
        </right>
        <bottom style="medium">
          <color indexed="64"/>
        </bottom>
      </border>
    </dxf>
    <dxf>
      <font>
        <strike val="0"/>
        <outline val="0"/>
        <shadow val="0"/>
        <u val="none"/>
        <vertAlign val="baseline"/>
        <sz val="12"/>
        <name val="Calibri"/>
        <family val="2"/>
        <scheme val="minor"/>
      </font>
    </dxf>
    <dxf>
      <border outline="0">
        <bottom style="thin">
          <color indexed="64"/>
        </bottom>
      </border>
    </dxf>
    <dxf>
      <font>
        <b/>
        <i val="0"/>
        <strike val="0"/>
        <condense val="0"/>
        <extend val="0"/>
        <outline val="0"/>
        <shadow val="0"/>
        <u/>
        <vertAlign val="baseline"/>
        <sz val="14"/>
        <color theme="1"/>
        <name val="Calibri"/>
        <family val="2"/>
        <scheme val="minor"/>
      </font>
      <fill>
        <patternFill patternType="none">
          <fgColor indexed="64"/>
          <bgColor auto="1"/>
        </patternFill>
      </fill>
      <alignment horizontal="center" vertical="bottom"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CCFFCC"/>
      <color rgb="FFFFD966"/>
      <color rgb="FFFFFFFF"/>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7.png"/></Relationships>
</file>

<file path=xl/drawings/_rels/drawing6.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0</xdr:col>
      <xdr:colOff>9526</xdr:colOff>
      <xdr:row>12</xdr:row>
      <xdr:rowOff>38100</xdr:rowOff>
    </xdr:from>
    <xdr:to>
      <xdr:col>1</xdr:col>
      <xdr:colOff>1071898</xdr:colOff>
      <xdr:row>26</xdr:row>
      <xdr:rowOff>95250</xdr:rowOff>
    </xdr:to>
    <xdr:pic>
      <xdr:nvPicPr>
        <xdr:cNvPr id="5" name="Picture 4" descr="Instructions">
          <a:extLst>
            <a:ext uri="{FF2B5EF4-FFF2-40B4-BE49-F238E27FC236}">
              <a16:creationId xmlns:a16="http://schemas.microsoft.com/office/drawing/2014/main" id="{FF973F7F-09D4-4E9C-99B2-0B836AFC24BB}"/>
            </a:ext>
          </a:extLst>
        </xdr:cNvPr>
        <xdr:cNvPicPr>
          <a:picLocks noChangeAspect="1"/>
        </xdr:cNvPicPr>
      </xdr:nvPicPr>
      <xdr:blipFill>
        <a:blip xmlns:r="http://schemas.openxmlformats.org/officeDocument/2006/relationships" r:embed="rId1"/>
        <a:stretch>
          <a:fillRect/>
        </a:stretch>
      </xdr:blipFill>
      <xdr:spPr>
        <a:xfrm>
          <a:off x="9526" y="2647950"/>
          <a:ext cx="3215022" cy="2771775"/>
        </a:xfrm>
        <a:prstGeom prst="rect">
          <a:avLst/>
        </a:prstGeom>
      </xdr:spPr>
    </xdr:pic>
    <xdr:clientData/>
  </xdr:twoCellAnchor>
  <xdr:twoCellAnchor editAs="oneCell">
    <xdr:from>
      <xdr:col>0</xdr:col>
      <xdr:colOff>1</xdr:colOff>
      <xdr:row>28</xdr:row>
      <xdr:rowOff>38101</xdr:rowOff>
    </xdr:from>
    <xdr:to>
      <xdr:col>2</xdr:col>
      <xdr:colOff>1</xdr:colOff>
      <xdr:row>54</xdr:row>
      <xdr:rowOff>180916</xdr:rowOff>
    </xdr:to>
    <xdr:pic>
      <xdr:nvPicPr>
        <xdr:cNvPr id="6" name="Picture 5" descr="Instruction sidebar - Volume and Speed in Travel Time Tab">
          <a:extLst>
            <a:ext uri="{FF2B5EF4-FFF2-40B4-BE49-F238E27FC236}">
              <a16:creationId xmlns:a16="http://schemas.microsoft.com/office/drawing/2014/main" id="{BAECAB91-0F39-4D56-93E2-C002AD5FDAB1}"/>
            </a:ext>
          </a:extLst>
        </xdr:cNvPr>
        <xdr:cNvPicPr>
          <a:picLocks noChangeAspect="1"/>
        </xdr:cNvPicPr>
      </xdr:nvPicPr>
      <xdr:blipFill>
        <a:blip xmlns:r="http://schemas.openxmlformats.org/officeDocument/2006/relationships" r:embed="rId2"/>
        <a:stretch>
          <a:fillRect/>
        </a:stretch>
      </xdr:blipFill>
      <xdr:spPr>
        <a:xfrm>
          <a:off x="1" y="5667376"/>
          <a:ext cx="3257550" cy="51910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151343</xdr:colOff>
      <xdr:row>3</xdr:row>
      <xdr:rowOff>21165</xdr:rowOff>
    </xdr:from>
    <xdr:to>
      <xdr:col>7</xdr:col>
      <xdr:colOff>275603</xdr:colOff>
      <xdr:row>6</xdr:row>
      <xdr:rowOff>231774</xdr:rowOff>
    </xdr:to>
    <xdr:pic>
      <xdr:nvPicPr>
        <xdr:cNvPr id="8" name="Picture 7" descr="Person Hours of Travel Time Saved. ">
          <a:extLst>
            <a:ext uri="{FF2B5EF4-FFF2-40B4-BE49-F238E27FC236}">
              <a16:creationId xmlns:a16="http://schemas.microsoft.com/office/drawing/2014/main" id="{A11DD588-12A1-4685-9402-371C4D9B71A4}"/>
            </a:ext>
          </a:extLst>
        </xdr:cNvPr>
        <xdr:cNvPicPr>
          <a:picLocks noChangeAspect="1"/>
        </xdr:cNvPicPr>
      </xdr:nvPicPr>
      <xdr:blipFill>
        <a:blip xmlns:r="http://schemas.openxmlformats.org/officeDocument/2006/relationships" r:embed="rId1"/>
        <a:stretch>
          <a:fillRect/>
        </a:stretch>
      </xdr:blipFill>
      <xdr:spPr>
        <a:xfrm>
          <a:off x="151343" y="579965"/>
          <a:ext cx="2702360" cy="102975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100543</xdr:colOff>
      <xdr:row>3</xdr:row>
      <xdr:rowOff>24342</xdr:rowOff>
    </xdr:from>
    <xdr:to>
      <xdr:col>7</xdr:col>
      <xdr:colOff>512234</xdr:colOff>
      <xdr:row>29</xdr:row>
      <xdr:rowOff>138318</xdr:rowOff>
    </xdr:to>
    <xdr:pic>
      <xdr:nvPicPr>
        <xdr:cNvPr id="2" name="Picture 1" descr="Rail Volume">
          <a:extLst>
            <a:ext uri="{FF2B5EF4-FFF2-40B4-BE49-F238E27FC236}">
              <a16:creationId xmlns:a16="http://schemas.microsoft.com/office/drawing/2014/main" id="{D0104F26-9D02-4BF5-8A0F-CF8DB2332566}"/>
            </a:ext>
          </a:extLst>
        </xdr:cNvPr>
        <xdr:cNvPicPr>
          <a:picLocks noChangeAspect="1"/>
        </xdr:cNvPicPr>
      </xdr:nvPicPr>
      <xdr:blipFill>
        <a:blip xmlns:r="http://schemas.openxmlformats.org/officeDocument/2006/relationships" r:embed="rId1"/>
        <a:stretch>
          <a:fillRect/>
        </a:stretch>
      </xdr:blipFill>
      <xdr:spPr>
        <a:xfrm>
          <a:off x="100543" y="600075"/>
          <a:ext cx="4678891" cy="495691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124555</xdr:colOff>
      <xdr:row>15</xdr:row>
      <xdr:rowOff>262996</xdr:rowOff>
    </xdr:from>
    <xdr:to>
      <xdr:col>7</xdr:col>
      <xdr:colOff>447035</xdr:colOff>
      <xdr:row>31</xdr:row>
      <xdr:rowOff>184149</xdr:rowOff>
    </xdr:to>
    <xdr:pic>
      <xdr:nvPicPr>
        <xdr:cNvPr id="2" name="Picture 1" descr="VMT in the Vehicle Operating Costs Tab">
          <a:extLst>
            <a:ext uri="{FF2B5EF4-FFF2-40B4-BE49-F238E27FC236}">
              <a16:creationId xmlns:a16="http://schemas.microsoft.com/office/drawing/2014/main" id="{1CC03957-AB7C-44E7-8F25-C15DAF315AAE}"/>
            </a:ext>
          </a:extLst>
        </xdr:cNvPr>
        <xdr:cNvPicPr>
          <a:picLocks noChangeAspect="1"/>
        </xdr:cNvPicPr>
      </xdr:nvPicPr>
      <xdr:blipFill>
        <a:blip xmlns:r="http://schemas.openxmlformats.org/officeDocument/2006/relationships" r:embed="rId1"/>
        <a:stretch>
          <a:fillRect/>
        </a:stretch>
      </xdr:blipFill>
      <xdr:spPr>
        <a:xfrm>
          <a:off x="124555" y="5057246"/>
          <a:ext cx="4234080" cy="4696353"/>
        </a:xfrm>
        <a:prstGeom prst="rect">
          <a:avLst/>
        </a:prstGeom>
      </xdr:spPr>
    </xdr:pic>
    <xdr:clientData/>
  </xdr:twoCellAnchor>
  <xdr:twoCellAnchor editAs="oneCell">
    <xdr:from>
      <xdr:col>0</xdr:col>
      <xdr:colOff>84505</xdr:colOff>
      <xdr:row>6</xdr:row>
      <xdr:rowOff>69850</xdr:rowOff>
    </xdr:from>
    <xdr:to>
      <xdr:col>7</xdr:col>
      <xdr:colOff>480635</xdr:colOff>
      <xdr:row>14</xdr:row>
      <xdr:rowOff>122382</xdr:rowOff>
    </xdr:to>
    <xdr:pic>
      <xdr:nvPicPr>
        <xdr:cNvPr id="3" name="Picture 2" descr="Highway Crash Data">
          <a:extLst>
            <a:ext uri="{FF2B5EF4-FFF2-40B4-BE49-F238E27FC236}">
              <a16:creationId xmlns:a16="http://schemas.microsoft.com/office/drawing/2014/main" id="{9A686E70-77C5-4AB1-9845-08B92F2E3CC8}"/>
            </a:ext>
          </a:extLst>
        </xdr:cNvPr>
        <xdr:cNvPicPr>
          <a:picLocks noChangeAspect="1"/>
        </xdr:cNvPicPr>
      </xdr:nvPicPr>
      <xdr:blipFill>
        <a:blip xmlns:r="http://schemas.openxmlformats.org/officeDocument/2006/relationships" r:embed="rId2"/>
        <a:stretch>
          <a:fillRect/>
        </a:stretch>
      </xdr:blipFill>
      <xdr:spPr>
        <a:xfrm>
          <a:off x="84505" y="2082800"/>
          <a:ext cx="4307730" cy="244013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49742</xdr:colOff>
      <xdr:row>3</xdr:row>
      <xdr:rowOff>96308</xdr:rowOff>
    </xdr:from>
    <xdr:to>
      <xdr:col>7</xdr:col>
      <xdr:colOff>593338</xdr:colOff>
      <xdr:row>14</xdr:row>
      <xdr:rowOff>138931</xdr:rowOff>
    </xdr:to>
    <xdr:pic>
      <xdr:nvPicPr>
        <xdr:cNvPr id="2" name="Picture 1" descr="Air Quality">
          <a:extLst>
            <a:ext uri="{FF2B5EF4-FFF2-40B4-BE49-F238E27FC236}">
              <a16:creationId xmlns:a16="http://schemas.microsoft.com/office/drawing/2014/main" id="{D4FB0A26-286A-4828-9D3E-5AAF21751B07}"/>
            </a:ext>
          </a:extLst>
        </xdr:cNvPr>
        <xdr:cNvPicPr>
          <a:picLocks noChangeAspect="1"/>
        </xdr:cNvPicPr>
      </xdr:nvPicPr>
      <xdr:blipFill>
        <a:blip xmlns:r="http://schemas.openxmlformats.org/officeDocument/2006/relationships" r:embed="rId1"/>
        <a:stretch>
          <a:fillRect/>
        </a:stretch>
      </xdr:blipFill>
      <xdr:spPr>
        <a:xfrm>
          <a:off x="16508942" y="724958"/>
          <a:ext cx="4810796" cy="206827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304800</xdr:colOff>
      <xdr:row>2</xdr:row>
      <xdr:rowOff>98409</xdr:rowOff>
    </xdr:from>
    <xdr:to>
      <xdr:col>7</xdr:col>
      <xdr:colOff>266700</xdr:colOff>
      <xdr:row>20</xdr:row>
      <xdr:rowOff>179628</xdr:rowOff>
    </xdr:to>
    <xdr:pic>
      <xdr:nvPicPr>
        <xdr:cNvPr id="2" name="Picture 1" descr="Average Annual Volume">
          <a:extLst>
            <a:ext uri="{FF2B5EF4-FFF2-40B4-BE49-F238E27FC236}">
              <a16:creationId xmlns:a16="http://schemas.microsoft.com/office/drawing/2014/main" id="{EC74848E-2B8A-4B57-B6B9-27BEAA3B3E15}"/>
            </a:ext>
          </a:extLst>
        </xdr:cNvPr>
        <xdr:cNvPicPr>
          <a:picLocks noChangeAspect="1"/>
        </xdr:cNvPicPr>
      </xdr:nvPicPr>
      <xdr:blipFill>
        <a:blip xmlns:r="http://schemas.openxmlformats.org/officeDocument/2006/relationships" r:embed="rId1"/>
        <a:stretch>
          <a:fillRect/>
        </a:stretch>
      </xdr:blipFill>
      <xdr:spPr>
        <a:xfrm>
          <a:off x="304800" y="517509"/>
          <a:ext cx="4140200" cy="3446719"/>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98642C2D-A973-4426-A412-9FF221A0A540}" name="Table5" displayName="Table5" ref="B1:F28" totalsRowShown="0" headerRowDxfId="351" dataDxfId="349" headerRowBorderDxfId="350" tableBorderDxfId="348">
  <autoFilter ref="B1:F28" xr:uid="{98642C2D-A973-4426-A412-9FF221A0A540}"/>
  <tableColumns count="5">
    <tableColumn id="1" xr3:uid="{40EC48C2-8C44-4E8E-887A-4F93667DA28F}" name="Indicator/Measure" dataDxfId="347"/>
    <tableColumn id="2" xr3:uid="{CA7EDA44-8B6B-4AF0-A04E-EF7361BB428B}" name="Unit" dataDxfId="346"/>
    <tableColumn id="3" xr3:uid="{B146AE4E-22B0-4FD5-9DD4-AEC3DD0983E9}" name="Build" dataDxfId="345"/>
    <tableColumn id="4" xr3:uid="{8206664E-6724-4F1E-8BB3-80DBE4C8D069}" name="No Build" dataDxfId="344"/>
    <tableColumn id="5" xr3:uid="{9A27678F-1A16-4B21-AA32-8B1919476A36}" name="Change" dataDxfId="34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BAC0E37-78CE-4C26-A564-9B8B6EA82D5B}" name="Table1" displayName="Table1" ref="D9:M18" totalsRowCount="1" headerRowDxfId="342" dataDxfId="340" headerRowBorderDxfId="341" tableBorderDxfId="339" totalsRowBorderDxfId="338" dataCellStyle="Comma">
  <autoFilter ref="D9:M17" xr:uid="{7BAC0E37-78CE-4C26-A564-9B8B6EA82D5B}"/>
  <tableColumns count="10">
    <tableColumn id="1" xr3:uid="{564E2633-5720-46C9-AD65-2033AE56D861}" name="Period &amp; Vehicle Type" totalsRowLabel="Total" dataDxfId="337" totalsRowDxfId="336"/>
    <tableColumn id="2" xr3:uid="{88F0DBB6-093A-40B3-B516-02DBCE523E99}" name="No Build Volume/ Year" totalsRowFunction="sum" dataDxfId="335" totalsRowDxfId="334" dataCellStyle="Input"/>
    <tableColumn id="3" xr3:uid="{F65D8AF6-6773-4CC2-8328-44A5920938B6}" name="Build Volume/ Year" totalsRowFunction="sum" dataDxfId="333" totalsRowDxfId="332" dataCellStyle="Input"/>
    <tableColumn id="9" xr3:uid="{0DCB20BB-E9E4-453D-9AB9-45DC3617B96B}" name="No Build Speed" dataDxfId="331" totalsRowDxfId="330" dataCellStyle="Input"/>
    <tableColumn id="10" xr3:uid="{A85137D4-C336-4994-8FB2-E60456C98FD4}" name="Build Speed" dataDxfId="329" totalsRowDxfId="328" dataCellStyle="Input"/>
    <tableColumn id="4" xr3:uid="{39D4B332-77AD-490A-8649-D6A441CAA6EB}" name="No Build Travel Time" dataDxfId="327" totalsRowDxfId="326" dataCellStyle="Comma">
      <calculatedColumnFormula>IFERROR($E$4/Table1[[#This Row],[No Build Speed]],"")</calculatedColumnFormula>
    </tableColumn>
    <tableColumn id="5" xr3:uid="{CE7B7E34-2392-4C19-8192-9E639AB2F230}" name="Build Travel Time" dataDxfId="325" totalsRowDxfId="324" dataCellStyle="Comma">
      <calculatedColumnFormula>IFERROR($E$4/Table1[[#This Row],[Build Speed]],"")</calculatedColumnFormula>
    </tableColumn>
    <tableColumn id="6" xr3:uid="{BB72C3E4-2D25-48A6-B8FF-AC6C2FDFA090}" name="Speed Limit Travel Time" dataDxfId="323" totalsRowDxfId="322" dataCellStyle="Comma"/>
    <tableColumn id="7" xr3:uid="{BD782CF8-8266-4CDB-A104-B7FFC66B10E2}" name="No Build DVHD" totalsRowFunction="sum" dataDxfId="321" totalsRowDxfId="320" dataCellStyle="Comma">
      <calculatedColumnFormula>IFERROR(E10*(I10-K10),"")</calculatedColumnFormula>
    </tableColumn>
    <tableColumn id="8" xr3:uid="{C17F1DD7-7B97-4E32-AAAB-A74BF6C46048}" name="Build DVHD" totalsRowFunction="sum" dataDxfId="319" totalsRowDxfId="318" dataCellStyle="Comma">
      <calculatedColumnFormula>IFERROR(F10*(J10-K10),"")</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A27406B-34E1-486F-9094-C9BC531BAC95}" name="Table2" displayName="Table2" ref="D22:M31" totalsRowCount="1" headerRowDxfId="317" dataDxfId="315" totalsRowDxfId="313" headerRowBorderDxfId="316" tableBorderDxfId="314" totalsRowBorderDxfId="312" dataCellStyle="Comma">
  <autoFilter ref="D22:M30" xr:uid="{8A27406B-34E1-486F-9094-C9BC531BAC95}"/>
  <tableColumns count="10">
    <tableColumn id="1" xr3:uid="{568FA48E-C0A2-4E1B-BF08-E932B01496A5}" name="Period &amp; Vehicle Type" totalsRowLabel="Total" dataDxfId="311" totalsRowDxfId="310"/>
    <tableColumn id="2" xr3:uid="{8F979C30-13CD-4F23-9FDC-C09B9C3C40DD}" name="No Build Volume/ Year" totalsRowFunction="sum" dataDxfId="309" totalsRowDxfId="308" dataCellStyle="Input"/>
    <tableColumn id="3" xr3:uid="{5086E46E-435C-4648-8CC3-20812E02ECFD}" name="Build Volume/ Year" totalsRowFunction="sum" dataDxfId="307" totalsRowDxfId="306" dataCellStyle="Input"/>
    <tableColumn id="9" xr3:uid="{D7FCB363-DC02-4018-88C5-D68C81FB0279}" name="No Build Speed" dataDxfId="305" totalsRowDxfId="304" dataCellStyle="Input"/>
    <tableColumn id="10" xr3:uid="{69781821-6C2A-4F92-9578-89B1BF0FA871}" name="Build Speed" dataDxfId="303" totalsRowDxfId="302" dataCellStyle="Input"/>
    <tableColumn id="4" xr3:uid="{F70C7939-4783-4262-9C47-415A15CA5D2E}" name="No Build Travel Time" dataDxfId="301" totalsRowDxfId="300" dataCellStyle="Comma">
      <calculatedColumnFormula>IFERROR($E$4/Table2[[#This Row],[No Build Speed]],"")</calculatedColumnFormula>
    </tableColumn>
    <tableColumn id="5" xr3:uid="{5A9558EF-FC1F-492C-A54E-B0BF17168E55}" name="Build Travel Time" dataDxfId="299" totalsRowDxfId="298" dataCellStyle="Comma"/>
    <tableColumn id="6" xr3:uid="{D7DDBA5C-CE40-4E40-AA83-180924C828EC}" name="Speed Limit Travel Time" dataDxfId="297" totalsRowDxfId="296" dataCellStyle="Comma"/>
    <tableColumn id="7" xr3:uid="{375D76EE-E8F9-47C1-936B-F07EB63E0363}" name="No Build DVHD" totalsRowFunction="sum" dataDxfId="295" totalsRowDxfId="294" dataCellStyle="Comma">
      <calculatedColumnFormula>IFERROR(E23*(I23-K23),"")</calculatedColumnFormula>
    </tableColumn>
    <tableColumn id="8" xr3:uid="{D2A024CC-0C79-4A1B-9CB8-7BAF88217CBF}" name="Build DVHD" totalsRowFunction="sum" dataDxfId="293" totalsRowDxfId="292" dataCellStyle="Comma">
      <calculatedColumnFormula>IFERROR(E23*(J23-K23),"")</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5C6AD7F-12F6-4F84-8E34-389C1E81DEFA}" name="Table3" displayName="Table3" ref="D35:K44" totalsRowCount="1" headerRowDxfId="291" dataDxfId="289" totalsRowDxfId="287" headerRowBorderDxfId="290" tableBorderDxfId="288" totalsRowBorderDxfId="286" dataCellStyle="Comma">
  <autoFilter ref="D35:K43" xr:uid="{95C6AD7F-12F6-4F84-8E34-389C1E81DEFA}"/>
  <tableColumns count="8">
    <tableColumn id="1" xr3:uid="{9848A6F3-F543-4C71-A011-41E82E552597}" name="Period &amp; Vehicle Type" totalsRowLabel="Total" dataDxfId="285" totalsRowDxfId="7"/>
    <tableColumn id="2" xr3:uid="{B5C86A36-1D8A-4034-8156-603BF66E1FD8}" name="No Build Volume/ Year" totalsRowFunction="sum" dataDxfId="284" totalsRowDxfId="6" dataCellStyle="Comma"/>
    <tableColumn id="3" xr3:uid="{5EE1AFD5-C1AC-40B5-8ACC-58BCDCD75464}" name="Build Volume/ Year" totalsRowFunction="sum" dataDxfId="283" totalsRowDxfId="5" dataCellStyle="Comma"/>
    <tableColumn id="4" xr3:uid="{515578F6-EE99-4842-BAC3-A6C92A74F5FC}" name="No Build Travel Time" dataDxfId="282" totalsRowDxfId="4" dataCellStyle="Normal">
      <calculatedColumnFormula>IF(I10="",I23,I10)</calculatedColumnFormula>
    </tableColumn>
    <tableColumn id="5" xr3:uid="{42F8A300-6F86-4151-A72F-E7BC6A8F2570}" name="Build Travel Time" dataDxfId="281" totalsRowDxfId="3" dataCellStyle="Normal">
      <calculatedColumnFormula>IF(J10="",J23,J10)</calculatedColumnFormula>
    </tableColumn>
    <tableColumn id="6" xr3:uid="{B4349E7F-18F5-4FD0-947F-7C705D30891F}" name="Speed Limit Travel Time" dataDxfId="280" totalsRowDxfId="2" dataCellStyle="Comma"/>
    <tableColumn id="7" xr3:uid="{B91BAA7B-D0B8-49B5-99F0-E7176ED557C7}" name="No Build Yearly DVHD" totalsRowFunction="sum" dataDxfId="279" totalsRowDxfId="1" dataCellStyle="Comma">
      <calculatedColumnFormula>IFERROR(E36*(G36-I36),"")</calculatedColumnFormula>
    </tableColumn>
    <tableColumn id="8" xr3:uid="{7FC3F79A-C5C7-46A1-8B05-4ECA8B6827E3}" name="Build Yearly DVHD" totalsRowFunction="sum" dataDxfId="278" totalsRowDxfId="0" dataCellStyle="Comma">
      <calculatedColumnFormula>IFERROR(F36*(H36-I36),"")</calculatedColumnFormula>
    </tableColum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EC8705B-AB3C-42DB-88A5-A5862793E91A}" name="Table4" displayName="Table4" ref="D48:G50" totalsRowShown="0" headerRowDxfId="277" dataDxfId="275" headerRowBorderDxfId="276" tableBorderDxfId="274" totalsRowBorderDxfId="273">
  <autoFilter ref="D48:G50" xr:uid="{2EC8705B-AB3C-42DB-88A5-A5862793E91A}"/>
  <tableColumns count="4">
    <tableColumn id="1" xr3:uid="{479B3DEF-EB93-48B4-9388-784AFC90B8B1}" name="Vehicle Type" dataDxfId="272"/>
    <tableColumn id="2" xr3:uid="{5EE80BA3-82C6-4F5B-B481-EED6369F48D8}" name="No Build Daily DVHD" dataDxfId="271">
      <calculatedColumnFormula>SUM(J37,J42)/365</calculatedColumnFormula>
    </tableColumn>
    <tableColumn id="3" xr3:uid="{5F811FB7-71A0-4BB2-BCCB-C627A9CEA650}" name="Build Daily DVHD" dataDxfId="270">
      <calculatedColumnFormula>SUM(K37,K42)/365</calculatedColumnFormula>
    </tableColumn>
    <tableColumn id="4" xr3:uid="{4D3643C2-A0CB-4A0A-AB70-2685D757910F}" name="Change" dataDxfId="269"/>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4F30EF34-A6FD-4A1F-9329-FDDDC53F26AD}" name="Table6" displayName="Table6" ref="D3:E6" totalsRowShown="0" headerRowDxfId="268" headerRowBorderDxfId="267" tableBorderDxfId="266" totalsRowBorderDxfId="265">
  <autoFilter ref="D3:E6" xr:uid="{4F30EF34-A6FD-4A1F-9329-FDDDC53F26AD}"/>
  <tableColumns count="2">
    <tableColumn id="1" xr3:uid="{E0029CD7-CDD0-433E-9BDD-D0A1300716C0}" name="Project Information" dataDxfId="264"/>
    <tableColumn id="2" xr3:uid="{7198AAF5-E9A3-439D-AF0B-8C02D50ADDC9}" name="Data" dataDxfId="263" dataCellStyle="Input"/>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637A68AA-AC07-4AED-8860-DC37609CEA17}" name="Table62629" displayName="Table62629" ref="J2:J3" totalsRowShown="0" headerRowDxfId="262" headerRowBorderDxfId="261" tableBorderDxfId="260" totalsRowBorderDxfId="259">
  <autoFilter ref="J2:J3" xr:uid="{4F30EF34-A6FD-4A1F-9329-FDDDC53F26AD}"/>
  <tableColumns count="1">
    <tableColumn id="2" xr3:uid="{ADC12A3B-8460-4780-928E-EC3CD48B19AA}" name="PHTTS (Cell AU25 in Travel Time Tab)" dataCellStyle="Input"/>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1091B5CC-AB61-446E-AD02-D88D8C1C4B83}" name="Table27" displayName="Table27" ref="A4:D5">
  <autoFilter ref="A4:D5" xr:uid="{1091B5CC-AB61-446E-AD02-D88D8C1C4B83}"/>
  <tableColumns count="4">
    <tableColumn id="1" xr3:uid="{B7B3E923-0785-4903-83C2-86AB4146879D}" name="Reliability"/>
    <tableColumn id="2" xr3:uid="{B19748F7-36D7-40A9-9481-9DDC3F31E8F7}" name="No Build" totalsRowDxfId="258" dataCellStyle="Input"/>
    <tableColumn id="3" xr3:uid="{A0ABF444-D4D1-4786-ABBD-C20DEB2F92E6}" name="Build" dataDxfId="257" totalsRowDxfId="256" dataCellStyle="Input"/>
    <tableColumn id="4" xr3:uid="{E547A250-ACD3-4093-A625-8BF37A196F1D}" name="Change" dataDxfId="255" dataCellStyle="Input">
      <calculatedColumnFormula>Table27[[#This Row],[Build]]-Table27[[#This Row],[No Build]]</calculatedColumnFormula>
    </tableColumn>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44667BC1-00EC-40B3-8C77-C277F0043092}" name="Table29" displayName="Table29" ref="A5:D6" totalsRowShown="0">
  <autoFilter ref="A5:D6" xr:uid="{44667BC1-00EC-40B3-8C77-C277F0043092}"/>
  <tableColumns count="4">
    <tableColumn id="1" xr3:uid="{D63B41E8-7961-49FE-AF1A-9820B3F5E3CA}" name="Metric"/>
    <tableColumn id="2" xr3:uid="{FFBED08F-7133-4501-A447-BFDBAE93AEDA}" name="No Build" dataCellStyle="Input"/>
    <tableColumn id="3" xr3:uid="{58D87719-9057-4FEE-97B8-127E476349F1}" name="Build" dataCellStyle="Input"/>
    <tableColumn id="4" xr3:uid="{2452D388-D93C-41FA-BE82-CAF320DAB7B1}" name="Change" dataDxfId="254">
      <calculatedColumnFormula>C6-B6</calculatedColumnFormula>
    </tableColumn>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1C8A4BEB-0948-49D6-9288-36012C8D4FB9}" name="Table30" displayName="Table30" ref="A7:D8" totalsRowShown="0" headerRowDxfId="253" headerRowBorderDxfId="252" tableBorderDxfId="251" totalsRowBorderDxfId="250">
  <autoFilter ref="A7:D8" xr:uid="{1C8A4BEB-0948-49D6-9288-36012C8D4FB9}"/>
  <tableColumns count="4">
    <tableColumn id="1" xr3:uid="{581390A3-4AFB-40DD-9CB0-C56E2ACC98BF}" name="Metric" dataDxfId="249"/>
    <tableColumn id="2" xr3:uid="{E5B4E756-ECE3-45B4-B87D-A14C03D77C1A}" name="No Build" dataDxfId="248"/>
    <tableColumn id="3" xr3:uid="{51D426FC-B65B-472E-9B6A-1F62F31CD5C9}" name="Build" dataDxfId="247"/>
    <tableColumn id="4" xr3:uid="{62A5A617-9858-4751-91EC-6730DCCF3A98}" name="Change" dataDxfId="246" dataCellStyle="Input">
      <calculatedColumnFormula>Table30[[#This Row],[Build]]-Table30[[#This Row],[No Build]]</calculatedColumnFormula>
    </tableColumn>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85441427-F3F4-4138-B996-C8AEB54378C0}" name="Table8" displayName="Table8" ref="J1:M4" totalsRowCount="1" headerRowDxfId="245" headerRowBorderDxfId="244" tableBorderDxfId="243" totalsRowBorderDxfId="242">
  <autoFilter ref="J1:M3" xr:uid="{85441427-F3F4-4138-B996-C8AEB54378C0}"/>
  <tableColumns count="4">
    <tableColumn id="1" xr3:uid="{EEE6EC18-C540-4B09-889B-0068CDA4C9DE}" name="Peak/ Non Peak" totalsRowLabel="Total" dataDxfId="241" totalsRowDxfId="240"/>
    <tableColumn id="2" xr3:uid="{650CA356-5B7D-4917-B8F8-5D363FB24D13}" name="No Build Volume/ Year" totalsRowFunction="sum" dataDxfId="239" totalsRowDxfId="238" dataCellStyle="Input"/>
    <tableColumn id="3" xr3:uid="{DE4DA5D9-4D86-4CEC-982C-0F65C04038C8}" name="Build Volume/ Year" totalsRowFunction="sum" dataDxfId="237" totalsRowDxfId="236" dataCellStyle="Input"/>
    <tableColumn id="4" xr3:uid="{1F41964B-9E14-48B7-9DA5-F97DD73845CD}" name="Difference" totalsRowFunction="sum" dataDxfId="235" totalsRowDxfId="234" dataCellStyle="Input">
      <calculatedColumnFormula>Table8[[#This Row],[Build Volume/ Year]]-Table8[[#This Row],[No Build Volume/ Year]]</calculatedColumnFormula>
    </tableColumn>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E7456943-6600-468C-A0F3-5704082DCF7B}" name="Table10" displayName="Table10" ref="J11:M13" totalsRowShown="0" headerRowDxfId="233" dataDxfId="231" headerRowBorderDxfId="232" tableBorderDxfId="230" totalsRowBorderDxfId="229">
  <autoFilter ref="J11:M13" xr:uid="{E7456943-6600-468C-A0F3-5704082DCF7B}"/>
  <tableColumns count="4">
    <tableColumn id="1" xr3:uid="{B5CBD79C-8397-494E-AD67-932C6D065747}" name="Crash Type" dataDxfId="228"/>
    <tableColumn id="2" xr3:uid="{845B983D-0336-476B-8831-E05A73692B23}" name="No Build Per Year" dataDxfId="227">
      <calculatedColumnFormula>0.05*365</calculatedColumnFormula>
    </tableColumn>
    <tableColumn id="3" xr3:uid="{64B6E8E8-6A2B-439E-8ADC-6C734C3FD58F}" name="Build Per Year" dataDxfId="226">
      <calculatedColumnFormula>K12*(1-(K8-L8))</calculatedColumnFormula>
    </tableColumn>
    <tableColumn id="4" xr3:uid="{0EF8D87A-4712-4657-AF9B-0806CDE53E2C}" name="Change" dataDxfId="225">
      <calculatedColumnFormula>L12-K12</calculatedColumnFormula>
    </tableColumn>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EA347CD9-B5DB-41E2-BB8D-1778D60F78FF}" name="Table11" displayName="Table11" ref="J16:L24" totalsRowShown="0" headerRowDxfId="224" headerRowBorderDxfId="223" tableBorderDxfId="222" totalsRowBorderDxfId="221">
  <autoFilter ref="J16:L24" xr:uid="{EA347CD9-B5DB-41E2-BB8D-1778D60F78FF}"/>
  <tableColumns count="3">
    <tableColumn id="1" xr3:uid="{037DE8E4-C6B8-457C-AABD-85C9D15F2FE8}" name="Period &amp; Vehicle Type" dataDxfId="220">
      <calculatedColumnFormula>DVHD!D10</calculatedColumnFormula>
    </tableColumn>
    <tableColumn id="2" xr3:uid="{82D689BD-E7F2-42C1-AFEE-F296BB013BB5}" name="No Build VMT/ Year" dataDxfId="219" dataCellStyle="Input"/>
    <tableColumn id="3" xr3:uid="{144C1C03-17B1-4B9D-9C83-DB7A9FC97895}" name="Build VMT/ Year" dataDxfId="218" dataCellStyle="Input"/>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9074EABA-0B51-4409-B160-BE147C7840ED}" name="Table12" displayName="Table12" ref="J28:L36" totalsRowShown="0" headerRowDxfId="217" headerRowBorderDxfId="216" tableBorderDxfId="215" totalsRowBorderDxfId="214">
  <autoFilter ref="J28:L36" xr:uid="{9074EABA-0B51-4409-B160-BE147C7840ED}"/>
  <tableColumns count="3">
    <tableColumn id="1" xr3:uid="{70157DBB-8AE7-4453-80D4-F150D982CE67}" name="Period &amp; Vehicle Type" dataDxfId="213">
      <calculatedColumnFormula>DVHD!D23</calculatedColumnFormula>
    </tableColumn>
    <tableColumn id="2" xr3:uid="{9978F2A9-A112-494E-9F7E-1439A86752C3}" name="No Build VMT/ Year" dataCellStyle="Input"/>
    <tableColumn id="3" xr3:uid="{0A26D2C5-8EAB-4CCB-B836-2522D05155C6}" name="Build VMT/ Year" dataCellStyle="Input"/>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64AEA4A3-ACFA-4D8E-AFB6-363D1D7EFB81}" name="Table13" displayName="Table13" ref="J40:L49" totalsRowCount="1" headerRowDxfId="212" headerRowBorderDxfId="211" tableBorderDxfId="210" totalsRowBorderDxfId="209">
  <autoFilter ref="J40:L48" xr:uid="{64AEA4A3-ACFA-4D8E-AFB6-363D1D7EFB81}"/>
  <tableColumns count="3">
    <tableColumn id="1" xr3:uid="{E86F9272-64AF-4227-B1AD-09243CDDA8C5}" name="Period &amp; Vehicle Type" totalsRowLabel="Total" dataDxfId="208" totalsRowDxfId="207">
      <calculatedColumnFormula>DVHD!D36</calculatedColumnFormula>
    </tableColumn>
    <tableColumn id="2" xr3:uid="{ED9A651E-90AA-47FF-B936-04F9BA3DB432}" name="No Build VMT/ Year" totalsRowFunction="sum" dataDxfId="206" totalsRowDxfId="205" dataCellStyle="Comma">
      <calculatedColumnFormula>SUM(K17,K29)</calculatedColumnFormula>
    </tableColumn>
    <tableColumn id="3" xr3:uid="{8E8BE606-E40C-4228-96C3-1AC4E45DC32A}" name="Build VMT/ Year" totalsRowFunction="sum" dataDxfId="204" totalsRowDxfId="203" dataCellStyle="Comma">
      <calculatedColumnFormula>SUM(L17,L29)</calculatedColumnFormula>
    </tableColumn>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8DFACB46-A90B-46DF-959A-9686CAE6461F}" name="Table14" displayName="Table14" ref="O2:R4" totalsRowShown="0" headerRowDxfId="202" headerRowBorderDxfId="201" tableBorderDxfId="200" totalsRowBorderDxfId="199">
  <autoFilter ref="O2:R4" xr:uid="{8DFACB46-A90B-46DF-959A-9686CAE6461F}"/>
  <tableColumns count="4">
    <tableColumn id="1" xr3:uid="{AE4225C5-9D44-40E9-AF7A-F90823CD7264}" name="Per 100 Million VMT" dataDxfId="198"/>
    <tableColumn id="2" xr3:uid="{1D02C1A9-E20D-4960-9D3E-EEC07989BA36}" name="No Build Per Year" dataDxfId="197">
      <calculatedColumnFormula>(K12/K48)*100000000</calculatedColumnFormula>
    </tableColumn>
    <tableColumn id="3" xr3:uid="{9E469E75-142C-4DAF-BF9B-276AD8F5D442}" name="Build Per Year" dataDxfId="196">
      <calculatedColumnFormula>(L12/L48)*100000000</calculatedColumnFormula>
    </tableColumn>
    <tableColumn id="4" xr3:uid="{8DED7068-3D62-46B0-B970-ED440C5CEE75}" name="Change" dataDxfId="195">
      <calculatedColumnFormula>Q3-P3</calculatedColumnFormula>
    </tableColumn>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F4EDD59-76BA-4569-9624-FE73A7EBE76B}" name="Table15" displayName="Table15" ref="J2:K4" totalsRowShown="0" headerRowDxfId="194" dataDxfId="193" tableBorderDxfId="192">
  <autoFilter ref="J2:K4" xr:uid="{0F4EDD59-76BA-4569-9624-FE73A7EBE76B}"/>
  <tableColumns count="2">
    <tableColumn id="1" xr3:uid="{372A3A68-E720-4D1D-B03A-A5AA6B77AE8E}" name="Crash Type" dataDxfId="191"/>
    <tableColumn id="2" xr3:uid="{37167BBD-2591-48FC-A903-C397FE9A1635}" name="Rate Per Day" dataCellStyle="Input"/>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B99193F3-4AFE-4DD3-95E7-03141CBFB241}" name="Table1517" displayName="Table1517" ref="J7:L9" totalsRowShown="0" dataDxfId="190" tableBorderDxfId="189">
  <autoFilter ref="J7:L9" xr:uid="{B99193F3-4AFE-4DD3-95E7-03141CBFB241}"/>
  <tableColumns count="3">
    <tableColumn id="1" xr3:uid="{9B0A29C0-B12A-4CF0-A31B-2C800906CADF}" name="Crash Type" dataDxfId="188"/>
    <tableColumn id="3" xr3:uid="{9BB35533-B707-40D4-8967-BC85A4B96BFC}" name="No Build" dataDxfId="187" dataCellStyle="Input"/>
    <tableColumn id="2" xr3:uid="{E7B48FD9-251C-4676-8F51-9A364C129E4D}" name="Build" dataDxfId="186" dataCellStyle="Input"/>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3504F1DE-BDE8-4B1F-9BB3-ACA10AA24780}" name="Table18" displayName="Table18" ref="J1:K8" totalsRowShown="0" headerRowDxfId="185" headerRowBorderDxfId="184" tableBorderDxfId="183" totalsRowBorderDxfId="182">
  <autoFilter ref="J1:K8" xr:uid="{3504F1DE-BDE8-4B1F-9BB3-ACA10AA24780}"/>
  <tableColumns count="2">
    <tableColumn id="1" xr3:uid="{C76714BE-EBAA-4C73-9FC3-36D0D25C5483}" name="EMISSIONS REDUCTION" dataDxfId="181"/>
    <tableColumn id="2" xr3:uid="{8DEB960F-50E0-4ADA-8AD3-5E451A3E681A}" name="Total Over 20 Years (Tons)" dataCellStyle="Input"/>
  </tableColumns>
  <tableStyleInfo name="TableStyleMedium2"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5F38C456-32F2-4766-BE8F-A628DAF58416}" name="Table19" displayName="Table19" ref="J6:L15" totalsRowCount="1" headerRowDxfId="180" dataDxfId="178" headerRowBorderDxfId="179" tableBorderDxfId="177" totalsRowBorderDxfId="176">
  <autoFilter ref="J6:L14" xr:uid="{5F38C456-32F2-4766-BE8F-A628DAF58416}"/>
  <tableColumns count="3">
    <tableColumn id="1" xr3:uid="{C2BE731D-8F4D-4EF0-A5C9-3BB6DCC51B90}" name="Type" totalsRowLabel="Total" dataDxfId="175" totalsRowDxfId="174"/>
    <tableColumn id="2" xr3:uid="{F18607AA-A7B1-4717-ACBD-3E6244D9F2AA}" name="No Build Volume/ Year" totalsRowFunction="sum" dataDxfId="173" totalsRowDxfId="172" dataCellStyle="Comma">
      <calculatedColumnFormula>DVHD!E36</calculatedColumnFormula>
    </tableColumn>
    <tableColumn id="3" xr3:uid="{579A24E9-781D-46A0-AC9A-09A80896B675}" name="Build Volume/ Year" totalsRowFunction="sum" dataDxfId="171" totalsRowDxfId="170" dataCellStyle="Comma">
      <calculatedColumnFormula>DVHD!F36</calculatedColumnFormula>
    </tableColumn>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63AA3170-E80F-4EE6-8730-9D3E19CDC83C}" name="Table20" displayName="Table20" ref="J2:L3" totalsRowShown="0" tableBorderDxfId="169">
  <autoFilter ref="J2:L3" xr:uid="{63AA3170-E80F-4EE6-8730-9D3E19CDC83C}"/>
  <tableColumns count="3">
    <tableColumn id="1" xr3:uid="{A032AD4E-DA6B-47DF-9558-62D75BA04E7E}" name="Average Daily Traffic" dataDxfId="168"/>
    <tableColumn id="2" xr3:uid="{9DD6CB1A-12F2-4D21-8CF1-3D62487124B6}" name="No Build Volume/ Year" dataCellStyle="Input"/>
    <tableColumn id="3" xr3:uid="{DC6452BF-F773-471C-95EC-81BEAAFEB6C1}" name="Build Volume/ Year" dataCellStyle="Input"/>
  </tableColumns>
  <tableStyleInfo name="TableStyleMedium2"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66B5C487-FC5D-4EAA-A777-E23A48499540}" name="Table122" displayName="Table122" ref="A9:F18" totalsRowCount="1" headerRowDxfId="167" dataDxfId="165" headerRowBorderDxfId="166" tableBorderDxfId="164" totalsRowBorderDxfId="163" dataCellStyle="Comma">
  <autoFilter ref="A9:F17" xr:uid="{7BAC0E37-78CE-4C26-A564-9B8B6EA82D5B}"/>
  <tableColumns count="6">
    <tableColumn id="1" xr3:uid="{C7A701B6-BC5A-4C2A-9B63-D20217AAF0EC}" name="Period &amp; Vehicle Type" totalsRowLabel="Total" dataDxfId="162" totalsRowDxfId="161">
      <calculatedColumnFormula>Table1[[#This Row],[Period &amp; Vehicle Type]]</calculatedColumnFormula>
    </tableColumn>
    <tableColumn id="2" xr3:uid="{D0FA0A3F-B418-4D4E-A6FC-A6AC7EA25C41}" name="No Build Volume/ Year" totalsRowFunction="sum" dataDxfId="160" totalsRowDxfId="159" dataCellStyle="Comma">
      <calculatedColumnFormula>Table1[[#This Row],[No Build Volume/ Year]]</calculatedColumnFormula>
    </tableColumn>
    <tableColumn id="3" xr3:uid="{B037C5A3-92DC-4B04-B4DF-8BAB8803CA30}" name="Build Volume/ Year" totalsRowFunction="sum" dataDxfId="158" totalsRowDxfId="157" dataCellStyle="Comma">
      <calculatedColumnFormula>Table1[[#This Row],[Build Volume/ Year]]</calculatedColumnFormula>
    </tableColumn>
    <tableColumn id="7" xr3:uid="{13E357AB-85C3-495B-86CF-6338BEAC0CD1}" name="No Build DVMT" totalsRowFunction="sum" dataDxfId="156" totalsRowDxfId="155" dataCellStyle="Comma">
      <calculatedColumnFormula>Table122[[#This Row],[No Build Volume/ Year]]*$B$4</calculatedColumnFormula>
    </tableColumn>
    <tableColumn id="8" xr3:uid="{DC482714-5900-4BBB-B6BE-CCD8DD6B63E7}" name="Build DVMT" totalsRowFunction="sum" dataDxfId="154" totalsRowDxfId="153" dataCellStyle="Comma">
      <calculatedColumnFormula>Table122[[#This Row],[Build Volume/ Year]]*$B$4</calculatedColumnFormula>
    </tableColumn>
    <tableColumn id="4" xr3:uid="{078B482A-F6ED-45BE-9FA7-FA7C5DCD55D9}" name="Change" totalsRowFunction="sum" dataDxfId="152" totalsRowDxfId="151" dataCellStyle="Comma" totalsRowCellStyle="Comma">
      <calculatedColumnFormula>Table122[[#This Row],[Build DVMT]]-Table122[[#This Row],[No Build DVMT]]</calculatedColumnFormula>
    </tableColumn>
  </tableColumns>
  <tableStyleInfo name="TableStyleMedium2"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79887755-E011-4456-92B9-1B768F99DCCB}" name="Table626" displayName="Table626" ref="A3:B6" totalsRowShown="0" headerRowDxfId="150" headerRowBorderDxfId="149" tableBorderDxfId="148" totalsRowBorderDxfId="147">
  <autoFilter ref="A3:B6" xr:uid="{4F30EF34-A6FD-4A1F-9329-FDDDC53F26AD}"/>
  <tableColumns count="2">
    <tableColumn id="1" xr3:uid="{48BE08B5-A074-44CA-921F-0FF00ACAFB42}" name="Project Information" dataDxfId="146"/>
    <tableColumn id="2" xr3:uid="{D17D6EA2-59C8-46D8-83B2-4B0F6DB86446}" name="Data" dataDxfId="145" dataCellStyle="Input"/>
  </tableColumns>
  <tableStyleInfo name="TableStyleMedium2"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6165C6C6-DD09-4FF5-B6A5-8E1BC98B5D9D}" name="Table12232" displayName="Table12232" ref="A22:F31" totalsRowCount="1" headerRowDxfId="144" dataDxfId="142" headerRowBorderDxfId="143" tableBorderDxfId="141" totalsRowBorderDxfId="140" dataCellStyle="Comma">
  <autoFilter ref="A22:F30" xr:uid="{6165C6C6-DD09-4FF5-B6A5-8E1BC98B5D9D}"/>
  <tableColumns count="6">
    <tableColumn id="1" xr3:uid="{9CA4E4E5-B3FB-46FA-B8CC-5D7FD0357019}" name="Period &amp; Vehicle Type" totalsRowLabel="Total" dataDxfId="139" totalsRowDxfId="138">
      <calculatedColumnFormula>Table2[[#This Row],[Period &amp; Vehicle Type]]</calculatedColumnFormula>
    </tableColumn>
    <tableColumn id="2" xr3:uid="{87C67CA8-95D7-4587-91F6-7C22A6A9C4FE}" name="No Build Volume/ Year" totalsRowFunction="sum" dataDxfId="137" totalsRowDxfId="136" dataCellStyle="Comma">
      <calculatedColumnFormula>Table2[[#This Row],[No Build Volume/ Year]]</calculatedColumnFormula>
    </tableColumn>
    <tableColumn id="3" xr3:uid="{E0615068-1CDB-42F3-86ED-02229F6C6BF6}" name="Build Volume/ Year" totalsRowFunction="sum" dataDxfId="135" totalsRowDxfId="134" dataCellStyle="Comma">
      <calculatedColumnFormula>Table2[[#This Row],[Build Volume/ Year]]</calculatedColumnFormula>
    </tableColumn>
    <tableColumn id="7" xr3:uid="{F2D2C238-7226-4603-BEB7-C6DF91DFD37E}" name="No Build DVMT" totalsRowFunction="sum" dataDxfId="133" totalsRowDxfId="132" dataCellStyle="Comma">
      <calculatedColumnFormula>Table12232[[#This Row],[No Build Volume/ Year]]*$B$4</calculatedColumnFormula>
    </tableColumn>
    <tableColumn id="8" xr3:uid="{25B04C11-61A5-4E68-A080-4BD9FA827F31}" name="Build DVMT" totalsRowFunction="sum" dataDxfId="131" totalsRowDxfId="130" dataCellStyle="Comma">
      <calculatedColumnFormula>Table12232[[#This Row],[Build Volume/ Year]]*$B$4</calculatedColumnFormula>
    </tableColumn>
    <tableColumn id="4" xr3:uid="{1E35C78B-90D2-4A01-A8EB-50B5D7F00A3C}" name="Change" totalsRowFunction="count" dataDxfId="129" totalsRowDxfId="128" dataCellStyle="Comma" totalsRowCellStyle="Comma">
      <calculatedColumnFormula>Table12232[[#This Row],[Build DVMT]]-Table12232[[#This Row],[No Build DVMT]]</calculatedColumnFormula>
    </tableColumn>
  </tableColumns>
  <tableStyleInfo name="TableStyleMedium2"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F711F391-81D5-4D09-88D0-880483F3C9E1}" name="Table1223233" displayName="Table1223233" ref="A35:F44" totalsRowCount="1" headerRowDxfId="127" dataDxfId="125" headerRowBorderDxfId="126" tableBorderDxfId="124" totalsRowBorderDxfId="123" dataCellStyle="Comma">
  <autoFilter ref="A35:F43" xr:uid="{F711F391-81D5-4D09-88D0-880483F3C9E1}"/>
  <tableColumns count="6">
    <tableColumn id="1" xr3:uid="{1CB19953-E4C6-4C11-A3FC-BD3307A56772}" name="Period &amp; Vehicle Type" totalsRowLabel="Total" dataDxfId="122" totalsRowDxfId="121">
      <calculatedColumnFormula>Table3[[#This Row],[Period &amp; Vehicle Type]]</calculatedColumnFormula>
    </tableColumn>
    <tableColumn id="2" xr3:uid="{A5D9F57D-EB16-443D-94B7-5CD8998A24E8}" name="No Build Volume/ Year" totalsRowFunction="sum" dataDxfId="120" totalsRowDxfId="119" dataCellStyle="Comma">
      <calculatedColumnFormula>B10+B23</calculatedColumnFormula>
    </tableColumn>
    <tableColumn id="3" xr3:uid="{FF50D5F4-0739-4B81-8E76-B999BE691F4D}" name="Build Volume/ Year" totalsRowFunction="sum" dataDxfId="118" totalsRowDxfId="117" dataCellStyle="Comma">
      <calculatedColumnFormula>C10+C23</calculatedColumnFormula>
    </tableColumn>
    <tableColumn id="7" xr3:uid="{3F07C1F6-40A7-46E4-9311-E2CDBBE0EBDC}" name="No Build DVMT" totalsRowFunction="sum" dataDxfId="116" totalsRowDxfId="115" dataCellStyle="Comma">
      <calculatedColumnFormula>Table1223233[[#This Row],[No Build Volume/ Year]]*$B$4</calculatedColumnFormula>
    </tableColumn>
    <tableColumn id="8" xr3:uid="{CA930BAC-F50D-4E47-B3E7-A496FA752943}" name="Build DVMT" totalsRowFunction="sum" dataDxfId="114" totalsRowDxfId="113" dataCellStyle="Comma">
      <calculatedColumnFormula>Table1223233[[#This Row],[Build Volume/ Year]]*$B$4</calculatedColumnFormula>
    </tableColumn>
    <tableColumn id="4" xr3:uid="{58BE437D-4E9A-4279-9651-C7C2D5CC9CC0}" name="Change" totalsRowFunction="sum" dataDxfId="112" totalsRowDxfId="111" dataCellStyle="Comma">
      <calculatedColumnFormula>Table1223233[[#This Row],[Build DVMT]]-Table1223233[[#This Row],[No Build DVMT]]</calculatedColumnFormula>
    </tableColumn>
  </tableColumns>
  <tableStyleInfo name="TableStyleMedium2"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6F062988-AEC7-4F94-B0D0-07313ED397A4}" name="Table7" displayName="Table7" ref="A2:D5" totalsRowCount="1" headerRowDxfId="110" totalsRowDxfId="107" headerRowBorderDxfId="109" tableBorderDxfId="108" totalsRowBorderDxfId="106">
  <autoFilter ref="A2:D4" xr:uid="{6F062988-AEC7-4F94-B0D0-07313ED397A4}"/>
  <tableColumns count="4">
    <tableColumn id="1" xr3:uid="{D2B6BB35-3A5F-4D80-9AF9-1851655428BD}" name="Peak/ Non- Peak" totalsRowLabel="Total" dataDxfId="105" totalsRowDxfId="104"/>
    <tableColumn id="2" xr3:uid="{4782AB81-7A4E-41CE-A7A5-6BC82B72FC72}" name="No Build Volume/ Year" totalsRowFunction="sum" dataDxfId="103" totalsRowDxfId="102" dataCellStyle="Comma">
      <calculatedColumnFormula>DVHD!E42</calculatedColumnFormula>
    </tableColumn>
    <tableColumn id="3" xr3:uid="{03D35537-2A1D-4060-8D6C-01F65165B66E}" name="Build Volume/ Year" totalsRowFunction="sum" dataDxfId="101" totalsRowDxfId="100" dataCellStyle="Comma">
      <calculatedColumnFormula>DVHD!F42</calculatedColumnFormula>
    </tableColumn>
    <tableColumn id="4" xr3:uid="{2B0744BA-8AD2-4840-90F8-E0067B02925C}" name="Difference" totalsRowFunction="sum" dataDxfId="99" totalsRowDxfId="98" dataCellStyle="Comma">
      <calculatedColumnFormula>Table7[[#This Row],[Build Volume/ Year]]-Table7[[#This Row],[No Build Volume/ Year]]</calculatedColumnFormula>
    </tableColumn>
  </tableColumns>
  <tableStyleInfo name="TableStyleMedium2"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AE4C941F-5B92-4315-BE2A-97FB99433249}" name="Table17" displayName="Table17" ref="A2:D4" totalsRowShown="0" headerRowDxfId="97" headerRowBorderDxfId="96" tableBorderDxfId="95" totalsRowBorderDxfId="94">
  <autoFilter ref="A2:D4" xr:uid="{AE4C941F-5B92-4315-BE2A-97FB99433249}"/>
  <tableColumns count="4">
    <tableColumn id="1" xr3:uid="{E5DCDDDE-8FEE-4350-83E9-DF5CD182DDE9}" name="Crash Type" dataDxfId="93"/>
    <tableColumn id="2" xr3:uid="{9745C608-8FB6-4824-889C-A3F157326D00}" name="No Build Per Year" dataDxfId="92">
      <calculatedColumnFormula>'Rate of Fatalities-Serious Inj'!K12</calculatedColumnFormula>
    </tableColumn>
    <tableColumn id="3" xr3:uid="{E4E68F6E-3F01-42CA-A6D8-19094E3B0922}" name="Build Per Year" dataDxfId="91">
      <calculatedColumnFormula>'Rate of Fatalities-Serious Inj'!L12</calculatedColumnFormula>
    </tableColumn>
    <tableColumn id="4" xr3:uid="{20FC9ACC-F607-4A80-B7B0-2F99DCEBCF6D}" name="Change" dataDxfId="90">
      <calculatedColumnFormula>'Rate of Fatalities-Serious Inj'!M12</calculatedColumnFormula>
    </tableColumn>
  </tableColumns>
  <tableStyleInfo name="TableStyleMedium2"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37500B4-7F79-428B-8E9A-6090BF1790A3}" name="Table9" displayName="Table9" ref="A3:J12" totalsRowCount="1" headerRowDxfId="89" headerRowBorderDxfId="88" tableBorderDxfId="87" totalsRowBorderDxfId="86">
  <autoFilter ref="A3:J11" xr:uid="{037500B4-7F79-428B-8E9A-6090BF1790A3}"/>
  <tableColumns count="10">
    <tableColumn id="1" xr3:uid="{2689925F-1607-41E9-8656-212640CB6468}" name="Period &amp; Vehicle Type" totalsRowLabel="Total" dataDxfId="85" totalsRowDxfId="84">
      <calculatedColumnFormula>DVHD!D10</calculatedColumnFormula>
    </tableColumn>
    <tableColumn id="2" xr3:uid="{4EB13F3D-C3BD-4CB1-8C78-93438A5C55B1}" name="No Build Volume/ Year" totalsRowFunction="sum" dataDxfId="83" totalsRowDxfId="82" dataCellStyle="Comma">
      <calculatedColumnFormula>DVHD!E10</calculatedColumnFormula>
    </tableColumn>
    <tableColumn id="3" xr3:uid="{89A9EED4-7DFE-4A3F-B38F-2DB4FBD96CDC}" name="Build Volume/ Year" totalsRowFunction="sum" dataDxfId="81" totalsRowDxfId="80" dataCellStyle="Comma">
      <calculatedColumnFormula>DVHD!F10</calculatedColumnFormula>
    </tableColumn>
    <tableColumn id="4" xr3:uid="{A8771BFD-9710-4A35-9A40-10E93C3E53D1}" name="No Build Avg Speed" dataDxfId="79" totalsRowDxfId="78" dataCellStyle="Normal">
      <calculatedColumnFormula>DVHD!G10</calculatedColumnFormula>
    </tableColumn>
    <tableColumn id="5" xr3:uid="{82AE1EE4-3504-4651-8A09-0EF3D7269979}" name="Build Avg Speed" dataDxfId="77" totalsRowDxfId="76" dataCellStyle="Normal">
      <calculatedColumnFormula>DVHD!H10</calculatedColumnFormula>
    </tableColumn>
    <tableColumn id="6" xr3:uid="{6C4AE8F3-B8DD-4A37-AC8A-C97E5BD65DBE}" name="No Build Impacted Length" dataDxfId="75" totalsRowDxfId="74">
      <calculatedColumnFormula>DVHD!$E$4</calculatedColumnFormula>
    </tableColumn>
    <tableColumn id="7" xr3:uid="{D2243EB7-612C-4F10-B274-3D76B6EED53E}" name="Build Impacted Length" dataDxfId="73" totalsRowDxfId="72">
      <calculatedColumnFormula>DVHD!$E$4</calculatedColumnFormula>
    </tableColumn>
    <tableColumn id="8" xr3:uid="{E3CE9A49-7A4C-4250-ABCE-46C4EAEDDFAB}" name="No Build Velocity" totalsRowFunction="sum" dataDxfId="71" totalsRowDxfId="70">
      <calculatedColumnFormula>F4*D4*B4</calculatedColumnFormula>
    </tableColumn>
    <tableColumn id="9" xr3:uid="{FF484867-DF34-466A-8281-1E116D27E9D9}" name="Build Velocity" totalsRowFunction="sum" dataDxfId="69" totalsRowDxfId="68">
      <calculatedColumnFormula>G4*E4*C4</calculatedColumnFormula>
    </tableColumn>
    <tableColumn id="10" xr3:uid="{A954C07A-2269-4AE5-AD43-FB3E0FDF1DF6}" name="Change" totalsRowFunction="sum" dataDxfId="67" totalsRowDxfId="66">
      <calculatedColumnFormula>I4-H4</calculatedColumnFormula>
    </tableColumn>
  </tableColumns>
  <tableStyleInfo name="TableStyleMedium2"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1E7C6242-84F6-4DA7-895F-DFC7828EDC98}" name="Table934" displayName="Table934" ref="A16:J25" totalsRowCount="1" headerRowDxfId="65" headerRowBorderDxfId="64" tableBorderDxfId="63" totalsRowBorderDxfId="62">
  <autoFilter ref="A16:J24" xr:uid="{1E7C6242-84F6-4DA7-895F-DFC7828EDC98}"/>
  <tableColumns count="10">
    <tableColumn id="1" xr3:uid="{AF4A5903-6614-4556-9C88-D84E93F6A3DA}" name="Period &amp; Vehicle Type" totalsRowLabel="Total" dataDxfId="61" totalsRowDxfId="60">
      <calculatedColumnFormula>DVHD!D23</calculatedColumnFormula>
    </tableColumn>
    <tableColumn id="2" xr3:uid="{55341227-4F64-4116-8BFA-CD552E7E5061}" name="No Build Volume/ Year" totalsRowFunction="sum" dataDxfId="59" totalsRowDxfId="58" dataCellStyle="Comma">
      <calculatedColumnFormula>DVHD!E23</calculatedColumnFormula>
    </tableColumn>
    <tableColumn id="3" xr3:uid="{33C4484D-770D-4B23-8FDC-1564487D304B}" name="Build Volume/ Year" totalsRowFunction="sum" dataDxfId="57" totalsRowDxfId="56" dataCellStyle="Comma">
      <calculatedColumnFormula>DVHD!F23</calculatedColumnFormula>
    </tableColumn>
    <tableColumn id="4" xr3:uid="{EA216B49-95F7-4847-B3AF-5C94DB4419FF}" name="No Build Avg Speed" dataDxfId="55" totalsRowDxfId="54" dataCellStyle="Normal">
      <calculatedColumnFormula>DVHD!G23</calculatedColumnFormula>
    </tableColumn>
    <tableColumn id="5" xr3:uid="{D119B3B2-F5CC-43A4-BCD4-C3AC2E7D3AD4}" name="Build Avg Speed" dataDxfId="53" totalsRowDxfId="52" dataCellStyle="Normal">
      <calculatedColumnFormula>DVHD!H23</calculatedColumnFormula>
    </tableColumn>
    <tableColumn id="6" xr3:uid="{AE518D43-C9F6-4F84-AFDB-3AD205F23C4D}" name="No Build Impacted Length" dataDxfId="51" totalsRowDxfId="50">
      <calculatedColumnFormula>DVHD!$E$4</calculatedColumnFormula>
    </tableColumn>
    <tableColumn id="7" xr3:uid="{46FA5C78-1DDD-4F1A-B3C4-DF3F8BC1DB0F}" name="Build Impacted Length" dataDxfId="49" totalsRowDxfId="48">
      <calculatedColumnFormula>DVHD!$E$4</calculatedColumnFormula>
    </tableColumn>
    <tableColumn id="8" xr3:uid="{B816661A-123F-47DC-80AD-0E4F87FF2D41}" name="No Build Velocity" totalsRowFunction="sum" dataDxfId="47" totalsRowDxfId="46">
      <calculatedColumnFormula>F17*D17*B17</calculatedColumnFormula>
    </tableColumn>
    <tableColumn id="9" xr3:uid="{D5BA298E-CFD3-47F2-A799-411FC49B812B}" name="Build Velocity" totalsRowFunction="sum" dataDxfId="45" totalsRowDxfId="44">
      <calculatedColumnFormula>G17*E17*C17</calculatedColumnFormula>
    </tableColumn>
    <tableColumn id="10" xr3:uid="{6539C884-74F8-4781-A4F5-0BBE32529D0A}" name="Change" totalsRowFunction="sum" dataDxfId="43" totalsRowDxfId="42">
      <calculatedColumnFormula>I17-H17</calculatedColumnFormula>
    </tableColumn>
  </tableColumns>
  <tableStyleInfo name="TableStyleMedium2"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71E73E07-0B35-4B5E-91CE-CCE3616C78DC}" name="Table93435" displayName="Table93435" ref="A29:J38" totalsRowCount="1" headerRowDxfId="41" headerRowBorderDxfId="40" tableBorderDxfId="39" totalsRowBorderDxfId="38">
  <autoFilter ref="A29:J37" xr:uid="{71E73E07-0B35-4B5E-91CE-CCE3616C78DC}"/>
  <tableColumns count="10">
    <tableColumn id="1" xr3:uid="{9B89F9BD-4BDF-41B9-914A-89E39CA80F97}" name="Period &amp; Vehicle Type" totalsRowLabel="Total" dataDxfId="37" totalsRowDxfId="36">
      <calculatedColumnFormula>DVHD!D36</calculatedColumnFormula>
    </tableColumn>
    <tableColumn id="2" xr3:uid="{9A98535C-A8AE-4F23-82FC-2A70F514FBC2}" name="No Build Volume/ Year" totalsRowFunction="sum" dataDxfId="35" totalsRowDxfId="34" dataCellStyle="Comma">
      <calculatedColumnFormula>SUM(B4,B17)</calculatedColumnFormula>
    </tableColumn>
    <tableColumn id="3" xr3:uid="{6A0FC58A-4FFE-4BFA-8A5B-39BFBD5D0A30}" name="Build Volume/ Year" totalsRowFunction="sum" dataDxfId="33" totalsRowDxfId="32" dataCellStyle="Comma">
      <calculatedColumnFormula>SUM(C4,C17)</calculatedColumnFormula>
    </tableColumn>
    <tableColumn id="4" xr3:uid="{96B178C7-FB21-4AC9-9FDE-5E48ECB2855C}" name="No Build Avg Speed" dataDxfId="31" totalsRowDxfId="30" dataCellStyle="Normal">
      <calculatedColumnFormula>IFERROR(Table93435[[#This Row],[No Build Velocity]]/Table93435[[#This Row],[No Build Impacted Length]]/Table93435[[#This Row],[No Build Volume/ Year]],"")</calculatedColumnFormula>
    </tableColumn>
    <tableColumn id="5" xr3:uid="{88788CA2-217A-49A2-ABB3-D5B2273A0905}" name="Build Avg Speed" dataDxfId="29" totalsRowDxfId="28" dataCellStyle="Normal">
      <calculatedColumnFormula>IFERROR(Table93435[[#This Row],[No Build Velocity]]/Table93435[[#This Row],[No Build Impacted Length]]/Table93435[[#This Row],[No Build Volume/ Year]],"")</calculatedColumnFormula>
    </tableColumn>
    <tableColumn id="6" xr3:uid="{DB1C5394-F5B5-4AF0-AEC3-1A116EAF3FFA}" name="No Build Impacted Length" dataDxfId="27" totalsRowDxfId="26">
      <calculatedColumnFormula>DVHD!$E$4</calculatedColumnFormula>
    </tableColumn>
    <tableColumn id="7" xr3:uid="{C32565C9-EDCC-4B50-A935-CB2BBB4F02CD}" name="Build Impacted Length" dataDxfId="25" totalsRowDxfId="24">
      <calculatedColumnFormula>DVHD!$E$4</calculatedColumnFormula>
    </tableColumn>
    <tableColumn id="8" xr3:uid="{6BC9707F-B745-422D-A587-5E413F6CB401}" name="No Build Velocity" totalsRowFunction="sum" dataDxfId="23" totalsRowDxfId="22">
      <calculatedColumnFormula>SUM(H4,H17)</calculatedColumnFormula>
    </tableColumn>
    <tableColumn id="9" xr3:uid="{4918452F-4BBC-4E32-8286-B6B0DA74A176}" name="Build Velocity" totalsRowFunction="sum" dataDxfId="21" totalsRowDxfId="20">
      <calculatedColumnFormula>SUM(I4,I17)</calculatedColumnFormula>
    </tableColumn>
    <tableColumn id="10" xr3:uid="{A311BF56-E183-474D-817C-149FBEB03316}" name="Change" totalsRowFunction="sum" dataDxfId="19" totalsRowDxfId="18">
      <calculatedColumnFormula>I30-H30</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_rels/sheet4.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table" Target="../tables/table8.xml"/></Relationships>
</file>

<file path=xl/worksheets/_rels/sheet6.xml.rels><?xml version="1.0" encoding="UTF-8" standalone="yes"?>
<Relationships xmlns="http://schemas.openxmlformats.org/package/2006/relationships"><Relationship Id="rId1" Type="http://schemas.openxmlformats.org/officeDocument/2006/relationships/table" Target="../tables/table9.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8.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8" Type="http://schemas.openxmlformats.org/officeDocument/2006/relationships/table" Target="../tables/table17.xml"/><Relationship Id="rId3" Type="http://schemas.openxmlformats.org/officeDocument/2006/relationships/table" Target="../tables/table12.xml"/><Relationship Id="rId7" Type="http://schemas.openxmlformats.org/officeDocument/2006/relationships/table" Target="../tables/table16.xml"/><Relationship Id="rId2" Type="http://schemas.openxmlformats.org/officeDocument/2006/relationships/drawing" Target="../drawings/drawing4.xml"/><Relationship Id="rId1" Type="http://schemas.openxmlformats.org/officeDocument/2006/relationships/printerSettings" Target="../printerSettings/printerSettings3.bin"/><Relationship Id="rId6" Type="http://schemas.openxmlformats.org/officeDocument/2006/relationships/table" Target="../tables/table15.xml"/><Relationship Id="rId5" Type="http://schemas.openxmlformats.org/officeDocument/2006/relationships/table" Target="../tables/table14.xml"/><Relationship Id="rId4" Type="http://schemas.openxmlformats.org/officeDocument/2006/relationships/table" Target="../tables/table13.xml"/><Relationship Id="rId9" Type="http://schemas.openxmlformats.org/officeDocument/2006/relationships/table" Target="../tables/table18.xml"/></Relationships>
</file>

<file path=xl/worksheets/_rels/sheet10.xml.rels><?xml version="1.0" encoding="UTF-8" standalone="yes"?>
<Relationships xmlns="http://schemas.openxmlformats.org/package/2006/relationships"><Relationship Id="rId2" Type="http://schemas.openxmlformats.org/officeDocument/2006/relationships/table" Target="../tables/table19.xml"/><Relationship Id="rId1" Type="http://schemas.openxmlformats.org/officeDocument/2006/relationships/drawing" Target="../drawings/drawing5.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21.xml"/><Relationship Id="rId2" Type="http://schemas.openxmlformats.org/officeDocument/2006/relationships/table" Target="../tables/table20.xml"/><Relationship Id="rId1" Type="http://schemas.openxmlformats.org/officeDocument/2006/relationships/drawing" Target="../drawings/drawing6.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23.xml"/><Relationship Id="rId2" Type="http://schemas.openxmlformats.org/officeDocument/2006/relationships/table" Target="../tables/table22.xml"/><Relationship Id="rId1" Type="http://schemas.openxmlformats.org/officeDocument/2006/relationships/printerSettings" Target="../printerSettings/printerSettings4.bin"/><Relationship Id="rId5" Type="http://schemas.openxmlformats.org/officeDocument/2006/relationships/table" Target="../tables/table25.xml"/><Relationship Id="rId4" Type="http://schemas.openxmlformats.org/officeDocument/2006/relationships/table" Target="../tables/table24.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26.xml"/></Relationships>
</file>

<file path=xl/worksheets/_rels/sheet14.xml.rels><?xml version="1.0" encoding="UTF-8" standalone="yes"?>
<Relationships xmlns="http://schemas.openxmlformats.org/package/2006/relationships"><Relationship Id="rId2" Type="http://schemas.openxmlformats.org/officeDocument/2006/relationships/table" Target="../tables/table27.xml"/><Relationship Id="rId1" Type="http://schemas.openxmlformats.org/officeDocument/2006/relationships/printerSettings" Target="../printerSettings/printerSettings5.bin"/></Relationships>
</file>

<file path=xl/worksheets/_rels/sheet15.xml.rels><?xml version="1.0" encoding="UTF-8" standalone="yes"?>
<Relationships xmlns="http://schemas.openxmlformats.org/package/2006/relationships"><Relationship Id="rId3" Type="http://schemas.openxmlformats.org/officeDocument/2006/relationships/table" Target="../tables/table29.xml"/><Relationship Id="rId2" Type="http://schemas.openxmlformats.org/officeDocument/2006/relationships/table" Target="../tables/table28.xml"/><Relationship Id="rId1" Type="http://schemas.openxmlformats.org/officeDocument/2006/relationships/printerSettings" Target="../printerSettings/printerSettings6.bin"/><Relationship Id="rId4" Type="http://schemas.openxmlformats.org/officeDocument/2006/relationships/table" Target="../tables/table3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D8FF0-AD15-40FA-B1CE-468A9CBAC62E}">
  <sheetPr>
    <tabColor theme="7" tint="0.59999389629810485"/>
  </sheetPr>
  <dimension ref="A1:M9"/>
  <sheetViews>
    <sheetView tabSelected="1" zoomScaleNormal="100" workbookViewId="0">
      <selection sqref="A1:M4"/>
    </sheetView>
  </sheetViews>
  <sheetFormatPr defaultRowHeight="15" x14ac:dyDescent="0.25"/>
  <sheetData>
    <row r="1" spans="1:13" ht="62.25" customHeight="1" x14ac:dyDescent="0.25">
      <c r="A1" s="231" t="s">
        <v>154</v>
      </c>
      <c r="B1" s="232"/>
      <c r="C1" s="232"/>
      <c r="D1" s="232"/>
      <c r="E1" s="232"/>
      <c r="F1" s="232"/>
      <c r="G1" s="232"/>
      <c r="H1" s="232"/>
      <c r="I1" s="232"/>
      <c r="J1" s="232"/>
      <c r="K1" s="232"/>
      <c r="L1" s="232"/>
      <c r="M1" s="233"/>
    </row>
    <row r="2" spans="1:13" ht="62.25" customHeight="1" x14ac:dyDescent="0.25">
      <c r="A2" s="234"/>
      <c r="B2" s="235"/>
      <c r="C2" s="235"/>
      <c r="D2" s="235"/>
      <c r="E2" s="235"/>
      <c r="F2" s="235"/>
      <c r="G2" s="235"/>
      <c r="H2" s="235"/>
      <c r="I2" s="235"/>
      <c r="J2" s="235"/>
      <c r="K2" s="235"/>
      <c r="L2" s="235"/>
      <c r="M2" s="236"/>
    </row>
    <row r="3" spans="1:13" ht="62.25" customHeight="1" x14ac:dyDescent="0.25">
      <c r="A3" s="234"/>
      <c r="B3" s="235"/>
      <c r="C3" s="235"/>
      <c r="D3" s="235"/>
      <c r="E3" s="235"/>
      <c r="F3" s="235"/>
      <c r="G3" s="235"/>
      <c r="H3" s="235"/>
      <c r="I3" s="235"/>
      <c r="J3" s="235"/>
      <c r="K3" s="235"/>
      <c r="L3" s="235"/>
      <c r="M3" s="236"/>
    </row>
    <row r="4" spans="1:13" ht="62.25" customHeight="1" x14ac:dyDescent="0.25">
      <c r="A4" s="237"/>
      <c r="B4" s="238"/>
      <c r="C4" s="238"/>
      <c r="D4" s="238"/>
      <c r="E4" s="238"/>
      <c r="F4" s="238"/>
      <c r="G4" s="238"/>
      <c r="H4" s="238"/>
      <c r="I4" s="238"/>
      <c r="J4" s="238"/>
      <c r="K4" s="238"/>
      <c r="L4" s="238"/>
      <c r="M4" s="239"/>
    </row>
    <row r="5" spans="1:13" ht="33.6" customHeight="1" x14ac:dyDescent="0.25">
      <c r="A5" s="122"/>
      <c r="B5" s="122"/>
      <c r="C5" s="122"/>
      <c r="D5" s="122"/>
      <c r="E5" s="122"/>
      <c r="F5" s="122"/>
      <c r="G5" s="122"/>
      <c r="H5" s="122"/>
    </row>
    <row r="6" spans="1:13" x14ac:dyDescent="0.25">
      <c r="A6" s="107"/>
      <c r="B6" s="107"/>
      <c r="C6" s="107"/>
      <c r="D6" s="107"/>
      <c r="E6" s="107"/>
      <c r="F6" s="107"/>
      <c r="G6" s="107"/>
      <c r="H6" s="107"/>
    </row>
    <row r="7" spans="1:13" x14ac:dyDescent="0.25">
      <c r="A7" s="107"/>
      <c r="B7" s="107"/>
      <c r="C7" s="107"/>
      <c r="D7" s="107"/>
      <c r="E7" s="107"/>
      <c r="F7" s="107"/>
      <c r="G7" s="107"/>
      <c r="H7" s="107"/>
    </row>
    <row r="8" spans="1:13" x14ac:dyDescent="0.25">
      <c r="A8" s="107"/>
      <c r="B8" s="107"/>
      <c r="C8" s="107"/>
      <c r="D8" s="107"/>
      <c r="E8" s="107"/>
      <c r="F8" s="107"/>
      <c r="G8" s="107"/>
      <c r="H8" s="107"/>
    </row>
    <row r="9" spans="1:13" x14ac:dyDescent="0.25">
      <c r="A9" s="107"/>
      <c r="B9" s="107"/>
      <c r="C9" s="107"/>
      <c r="D9" s="107"/>
      <c r="E9" s="107"/>
      <c r="F9" s="107"/>
      <c r="G9" s="107"/>
      <c r="H9" s="107"/>
    </row>
  </sheetData>
  <mergeCells count="1">
    <mergeCell ref="A1:M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198D8-12C3-49AC-A53C-32555279E17A}">
  <sheetPr>
    <tabColor rgb="FFCCFFCC"/>
  </sheetPr>
  <dimension ref="A1:J28"/>
  <sheetViews>
    <sheetView workbookViewId="0">
      <selection activeCell="B18" sqref="B18"/>
    </sheetView>
  </sheetViews>
  <sheetFormatPr defaultRowHeight="15" x14ac:dyDescent="0.25"/>
  <cols>
    <col min="1" max="1" width="20.7109375" bestFit="1" customWidth="1"/>
    <col min="2" max="2" width="41.5703125" bestFit="1" customWidth="1"/>
    <col min="3" max="3" width="14.42578125" bestFit="1" customWidth="1"/>
    <col min="4" max="5" width="16.85546875" bestFit="1" customWidth="1"/>
    <col min="6" max="9" width="15.140625" customWidth="1"/>
    <col min="10" max="10" width="69.42578125" customWidth="1"/>
    <col min="11" max="11" width="15.140625" bestFit="1" customWidth="1"/>
    <col min="12" max="12" width="9.28515625" bestFit="1" customWidth="1"/>
    <col min="13" max="13" width="79.140625" customWidth="1"/>
  </cols>
  <sheetData>
    <row r="1" spans="1:10" s="8" customFormat="1" ht="18.75" x14ac:dyDescent="0.3">
      <c r="A1" s="161" t="s">
        <v>56</v>
      </c>
      <c r="B1" s="162" t="s">
        <v>57</v>
      </c>
      <c r="C1" s="163" t="s">
        <v>43</v>
      </c>
      <c r="D1" s="164" t="s">
        <v>44</v>
      </c>
      <c r="E1" s="165" t="s">
        <v>103</v>
      </c>
      <c r="F1" s="166" t="s">
        <v>20</v>
      </c>
      <c r="G1" s="63"/>
      <c r="H1" s="6"/>
      <c r="I1" s="6"/>
      <c r="J1" s="7"/>
    </row>
    <row r="2" spans="1:10" ht="31.5" x14ac:dyDescent="0.25">
      <c r="A2" s="167" t="s">
        <v>58</v>
      </c>
      <c r="B2" s="168" t="s">
        <v>59</v>
      </c>
      <c r="C2" s="169" t="s">
        <v>60</v>
      </c>
      <c r="D2" s="170">
        <f>DVHD!F49</f>
        <v>0</v>
      </c>
      <c r="E2" s="171">
        <f>DVHD!E49</f>
        <v>0</v>
      </c>
      <c r="F2" s="172">
        <f>D2-E2</f>
        <v>0</v>
      </c>
      <c r="G2" s="15"/>
      <c r="J2" s="10"/>
    </row>
    <row r="3" spans="1:10" ht="15.75" x14ac:dyDescent="0.25">
      <c r="A3" s="173"/>
      <c r="B3" s="168" t="s">
        <v>61</v>
      </c>
      <c r="C3" s="169" t="s">
        <v>60</v>
      </c>
      <c r="D3" s="174">
        <f>DVHD!F50</f>
        <v>0</v>
      </c>
      <c r="E3" s="169">
        <f>DVHD!E50</f>
        <v>0</v>
      </c>
      <c r="F3" s="175">
        <f t="shared" ref="F3:F10" si="0">D3-E3</f>
        <v>0</v>
      </c>
      <c r="G3" s="15"/>
    </row>
    <row r="4" spans="1:10" ht="15.75" x14ac:dyDescent="0.25">
      <c r="A4" s="173"/>
      <c r="B4" s="168" t="s">
        <v>121</v>
      </c>
      <c r="C4" s="176" t="s">
        <v>122</v>
      </c>
      <c r="D4" s="177">
        <f>Table1223233[[#Totals],[Build DVMT]]</f>
        <v>0</v>
      </c>
      <c r="E4" s="177">
        <f>Table1223233[[#Totals],[No Build DVMT]]</f>
        <v>0</v>
      </c>
      <c r="F4" s="178">
        <f>Table5[[#This Row],[Build]]-Table5[[#This Row],[No Build]]</f>
        <v>0</v>
      </c>
      <c r="G4" s="15"/>
    </row>
    <row r="5" spans="1:10" ht="15.75" x14ac:dyDescent="0.25">
      <c r="A5" s="173"/>
      <c r="B5" s="168" t="s">
        <v>123</v>
      </c>
      <c r="C5" s="176" t="s">
        <v>60</v>
      </c>
      <c r="D5" s="177"/>
      <c r="E5" s="177"/>
      <c r="F5" s="178" cm="1">
        <f t="array" ref="F5">Table62629[PHTTS (Cell AU25 in Travel Time Tab)]</f>
        <v>0</v>
      </c>
      <c r="G5" s="15"/>
    </row>
    <row r="6" spans="1:10" ht="15.75" x14ac:dyDescent="0.25">
      <c r="A6" s="173"/>
      <c r="B6" s="168" t="s">
        <v>125</v>
      </c>
      <c r="C6" s="176" t="s">
        <v>124</v>
      </c>
      <c r="D6" s="177" cm="1">
        <f t="array" ref="D6">Table27[Build]</f>
        <v>0</v>
      </c>
      <c r="E6" s="177" cm="1">
        <f t="array" ref="E6">Table27[No Build]</f>
        <v>0</v>
      </c>
      <c r="F6" s="178">
        <f>Table5[[#This Row],[Build]]-Table5[[#This Row],[No Build]]</f>
        <v>0</v>
      </c>
      <c r="G6" s="15"/>
    </row>
    <row r="7" spans="1:10" ht="15.75" x14ac:dyDescent="0.25">
      <c r="A7" s="173"/>
      <c r="B7" s="168" t="s">
        <v>116</v>
      </c>
      <c r="C7" s="176" t="s">
        <v>127</v>
      </c>
      <c r="D7" s="177" cm="1">
        <f t="array" ref="D7">Table29[Build]</f>
        <v>0</v>
      </c>
      <c r="E7" s="177" cm="1">
        <f t="array" ref="E7">Table29[No Build]</f>
        <v>0</v>
      </c>
      <c r="F7" s="178">
        <f>Table5[[#This Row],[Build]]-Table5[[#This Row],[No Build]]</f>
        <v>0</v>
      </c>
      <c r="G7" s="15"/>
    </row>
    <row r="8" spans="1:10" ht="15.75" x14ac:dyDescent="0.25">
      <c r="A8" s="179"/>
      <c r="B8" s="168" t="s">
        <v>128</v>
      </c>
      <c r="C8" s="176" t="s">
        <v>124</v>
      </c>
      <c r="D8" s="177" cm="1">
        <f t="array" ref="D8">Table30[Build]</f>
        <v>0</v>
      </c>
      <c r="E8" s="177" cm="1">
        <f t="array" ref="E8">Table30[No Build]</f>
        <v>0</v>
      </c>
      <c r="F8" s="178">
        <f>Table5[[#This Row],[Build]]-Table5[[#This Row],[No Build]]</f>
        <v>0</v>
      </c>
      <c r="G8" s="15"/>
    </row>
    <row r="9" spans="1:10" ht="15.75" x14ac:dyDescent="0.25">
      <c r="A9" s="180" t="s">
        <v>62</v>
      </c>
      <c r="B9" s="168" t="s">
        <v>63</v>
      </c>
      <c r="C9" s="169" t="s">
        <v>64</v>
      </c>
      <c r="D9" s="181">
        <f>Table7[[#Totals],[Build Volume/ Year]]</f>
        <v>0</v>
      </c>
      <c r="E9" s="182">
        <f>Table7[[#Totals],[No Build Volume/ Year]]</f>
        <v>0</v>
      </c>
      <c r="F9" s="175">
        <f t="shared" si="0"/>
        <v>0</v>
      </c>
      <c r="G9" s="64"/>
      <c r="H9" s="12"/>
      <c r="I9" s="12"/>
    </row>
    <row r="10" spans="1:10" ht="15.75" x14ac:dyDescent="0.25">
      <c r="A10" s="183"/>
      <c r="B10" s="168" t="s">
        <v>45</v>
      </c>
      <c r="C10" s="169" t="s">
        <v>72</v>
      </c>
      <c r="D10" s="184">
        <f>Table8[[#Totals],[Build Volume/ Year]]</f>
        <v>0</v>
      </c>
      <c r="E10" s="177">
        <f>Table8[[#Totals],[No Build Volume/ Year]]</f>
        <v>0</v>
      </c>
      <c r="F10" s="175">
        <f t="shared" si="0"/>
        <v>0</v>
      </c>
      <c r="G10" s="15"/>
    </row>
    <row r="11" spans="1:10" ht="15.75" x14ac:dyDescent="0.25">
      <c r="A11" s="185" t="s">
        <v>65</v>
      </c>
      <c r="B11" s="168" t="s">
        <v>46</v>
      </c>
      <c r="C11" s="169" t="s">
        <v>72</v>
      </c>
      <c r="D11" s="186">
        <f>Table93435[[#Totals],[Build Velocity]]</f>
        <v>0</v>
      </c>
      <c r="E11" s="187">
        <f>Table93435[[#Totals],[No Build Velocity]]</f>
        <v>0</v>
      </c>
      <c r="F11" s="188">
        <f>D11-E11</f>
        <v>0</v>
      </c>
      <c r="G11" s="64"/>
      <c r="H11" s="12"/>
      <c r="I11" s="12"/>
      <c r="J11" s="10"/>
    </row>
    <row r="12" spans="1:10" ht="47.25" x14ac:dyDescent="0.25">
      <c r="A12" s="189" t="s">
        <v>66</v>
      </c>
      <c r="B12" s="168" t="s">
        <v>47</v>
      </c>
      <c r="C12" s="176" t="s">
        <v>67</v>
      </c>
      <c r="D12" s="190"/>
      <c r="E12" s="191"/>
      <c r="F12" s="192">
        <f>'Air Quality'!K6</f>
        <v>0</v>
      </c>
      <c r="G12" s="65"/>
      <c r="H12" s="9"/>
    </row>
    <row r="13" spans="1:10" ht="15.75" x14ac:dyDescent="0.25">
      <c r="A13" s="193"/>
      <c r="B13" s="168" t="s">
        <v>47</v>
      </c>
      <c r="C13" s="176" t="s">
        <v>68</v>
      </c>
      <c r="D13" s="194"/>
      <c r="E13" s="195"/>
      <c r="F13" s="192">
        <f>'Air Quality'!K5</f>
        <v>0</v>
      </c>
      <c r="G13" s="67"/>
      <c r="H13" s="9"/>
    </row>
    <row r="14" spans="1:10" ht="15.75" x14ac:dyDescent="0.25">
      <c r="A14" s="193"/>
      <c r="B14" s="168" t="s">
        <v>48</v>
      </c>
      <c r="C14" s="176" t="s">
        <v>27</v>
      </c>
      <c r="D14" s="194"/>
      <c r="E14" s="195"/>
      <c r="F14" s="192">
        <f>'Air Quality'!K3</f>
        <v>0</v>
      </c>
      <c r="G14" s="65"/>
      <c r="H14" s="9"/>
      <c r="J14" s="12"/>
    </row>
    <row r="15" spans="1:10" ht="15.75" x14ac:dyDescent="0.25">
      <c r="A15" s="193"/>
      <c r="B15" s="168" t="s">
        <v>49</v>
      </c>
      <c r="C15" s="176" t="s">
        <v>27</v>
      </c>
      <c r="D15" s="194"/>
      <c r="E15" s="195"/>
      <c r="F15" s="192">
        <f>'Air Quality'!K8</f>
        <v>0</v>
      </c>
      <c r="G15" s="65"/>
      <c r="H15" s="9"/>
    </row>
    <row r="16" spans="1:10" ht="15.75" x14ac:dyDescent="0.25">
      <c r="A16" s="193"/>
      <c r="B16" s="168" t="s">
        <v>69</v>
      </c>
      <c r="C16" s="176" t="s">
        <v>27</v>
      </c>
      <c r="D16" s="194"/>
      <c r="E16" s="195"/>
      <c r="F16" s="192">
        <f>'Air Quality'!K7</f>
        <v>0</v>
      </c>
      <c r="G16" s="65"/>
      <c r="H16" s="9"/>
    </row>
    <row r="17" spans="1:10" ht="15.75" x14ac:dyDescent="0.25">
      <c r="A17" s="193"/>
      <c r="B17" s="168" t="s">
        <v>50</v>
      </c>
      <c r="C17" s="176" t="s">
        <v>27</v>
      </c>
      <c r="D17" s="194"/>
      <c r="E17" s="195"/>
      <c r="F17" s="192">
        <f>'Air Quality'!K2</f>
        <v>0</v>
      </c>
      <c r="G17" s="65"/>
      <c r="H17" s="9"/>
    </row>
    <row r="18" spans="1:10" ht="15.75" x14ac:dyDescent="0.25">
      <c r="A18" s="196"/>
      <c r="B18" s="168" t="s">
        <v>70</v>
      </c>
      <c r="C18" s="176" t="s">
        <v>27</v>
      </c>
      <c r="D18" s="197"/>
      <c r="E18" s="198"/>
      <c r="F18" s="192">
        <f>'Air Quality'!K4</f>
        <v>0</v>
      </c>
      <c r="G18" s="65"/>
      <c r="H18" s="9"/>
    </row>
    <row r="19" spans="1:10" ht="15.75" x14ac:dyDescent="0.25">
      <c r="A19" s="199" t="s">
        <v>71</v>
      </c>
      <c r="B19" s="168" t="s">
        <v>51</v>
      </c>
      <c r="C19" s="176" t="s">
        <v>72</v>
      </c>
      <c r="D19" s="200">
        <f>'# of Fatalities and Serious Inj'!C3</f>
        <v>0</v>
      </c>
      <c r="E19" s="200">
        <f>'# of Fatalities and Serious Inj'!B3</f>
        <v>0</v>
      </c>
      <c r="F19" s="201">
        <f>D19-E19</f>
        <v>0</v>
      </c>
      <c r="G19" s="66"/>
    </row>
    <row r="20" spans="1:10" ht="15.75" x14ac:dyDescent="0.25">
      <c r="A20" s="202"/>
      <c r="B20" s="168" t="s">
        <v>52</v>
      </c>
      <c r="C20" s="169" t="s">
        <v>72</v>
      </c>
      <c r="D20" s="203">
        <f>'Rate of Fatalities-Serious Inj'!Q3</f>
        <v>0</v>
      </c>
      <c r="E20" s="204" t="e">
        <f>'Rate of Fatalities-Serious Inj'!P3</f>
        <v>#DIV/0!</v>
      </c>
      <c r="F20" s="205" t="e">
        <f>D20-E20</f>
        <v>#DIV/0!</v>
      </c>
      <c r="G20" s="15"/>
    </row>
    <row r="21" spans="1:10" ht="15.75" x14ac:dyDescent="0.25">
      <c r="A21" s="202"/>
      <c r="B21" s="168" t="s">
        <v>53</v>
      </c>
      <c r="C21" s="169" t="s">
        <v>72</v>
      </c>
      <c r="D21" s="206">
        <f>'# of Fatalities and Serious Inj'!C4</f>
        <v>0</v>
      </c>
      <c r="E21" s="207">
        <f>'# of Fatalities and Serious Inj'!B4</f>
        <v>0</v>
      </c>
      <c r="F21" s="201">
        <f>D21-E21</f>
        <v>0</v>
      </c>
      <c r="G21" s="66"/>
    </row>
    <row r="22" spans="1:10" ht="31.5" x14ac:dyDescent="0.25">
      <c r="A22" s="208"/>
      <c r="B22" s="209" t="s">
        <v>54</v>
      </c>
      <c r="C22" s="169" t="s">
        <v>72</v>
      </c>
      <c r="D22" s="210">
        <f>'Rate of Fatalities-Serious Inj'!Q4</f>
        <v>0</v>
      </c>
      <c r="E22" s="211" t="e">
        <f>'Rate of Fatalities-Serious Inj'!P4</f>
        <v>#DIV/0!</v>
      </c>
      <c r="F22" s="212" t="e">
        <f>D22-E22</f>
        <v>#DIV/0!</v>
      </c>
      <c r="G22" s="15"/>
    </row>
    <row r="23" spans="1:10" ht="31.5" x14ac:dyDescent="0.25">
      <c r="A23" s="213" t="s">
        <v>73</v>
      </c>
      <c r="B23" s="209" t="s">
        <v>74</v>
      </c>
      <c r="C23" s="207" t="s">
        <v>72</v>
      </c>
      <c r="D23" s="214"/>
      <c r="E23" s="215"/>
      <c r="F23" s="216"/>
      <c r="G23" s="15"/>
    </row>
    <row r="24" spans="1:10" ht="47.25" x14ac:dyDescent="0.25">
      <c r="A24" s="217" t="s">
        <v>153</v>
      </c>
      <c r="B24" s="209" t="s">
        <v>55</v>
      </c>
      <c r="C24" s="207" t="s">
        <v>75</v>
      </c>
      <c r="D24" s="218"/>
      <c r="E24" s="219"/>
      <c r="F24" s="220"/>
      <c r="G24" s="15"/>
      <c r="J24" s="10"/>
    </row>
    <row r="25" spans="1:10" ht="31.5" x14ac:dyDescent="0.25">
      <c r="A25" s="221" t="s">
        <v>76</v>
      </c>
      <c r="B25" s="168" t="s">
        <v>77</v>
      </c>
      <c r="C25" s="169" t="s">
        <v>72</v>
      </c>
      <c r="D25" s="181" cm="1">
        <f t="array" ref="D25">Table20[Build Volume/ Year]</f>
        <v>0</v>
      </c>
      <c r="E25" s="182" cm="1">
        <f t="array" ref="E25">Table20[No Build Volume/ Year]</f>
        <v>0</v>
      </c>
      <c r="F25" s="222">
        <f>Table5[[#This Row],[Build]]-Table5[[#This Row],[No Build]]</f>
        <v>0</v>
      </c>
      <c r="G25" s="64"/>
      <c r="H25" s="12"/>
      <c r="I25" s="12"/>
    </row>
    <row r="26" spans="1:10" ht="31.5" x14ac:dyDescent="0.25">
      <c r="A26" s="223"/>
      <c r="B26" s="168" t="s">
        <v>79</v>
      </c>
      <c r="C26" s="169" t="s">
        <v>78</v>
      </c>
      <c r="D26" s="224"/>
      <c r="E26" s="225"/>
      <c r="F26" s="222">
        <f>Table5[[#This Row],[Build]]-Table5[[#This Row],[No Build]]</f>
        <v>0</v>
      </c>
      <c r="G26" s="15"/>
    </row>
    <row r="27" spans="1:10" ht="31.5" x14ac:dyDescent="0.25">
      <c r="A27" s="223"/>
      <c r="B27" s="168" t="s">
        <v>80</v>
      </c>
      <c r="C27" s="169" t="s">
        <v>72</v>
      </c>
      <c r="D27" s="181">
        <f>Table19[[#Totals],[Build Volume/ Year]]</f>
        <v>0</v>
      </c>
      <c r="E27" s="182">
        <f>Table19[[#Totals],[No Build Volume/ Year]]</f>
        <v>0</v>
      </c>
      <c r="F27" s="222">
        <f>Table5[[#This Row],[Build]]-Table5[[#This Row],[No Build]]</f>
        <v>0</v>
      </c>
      <c r="G27" s="64"/>
      <c r="H27" s="12"/>
      <c r="I27" s="12"/>
    </row>
    <row r="28" spans="1:10" ht="31.5" x14ac:dyDescent="0.25">
      <c r="A28" s="226"/>
      <c r="B28" s="227" t="s">
        <v>81</v>
      </c>
      <c r="C28" s="228" t="s">
        <v>78</v>
      </c>
      <c r="D28" s="229"/>
      <c r="E28" s="230"/>
      <c r="F28" s="222">
        <f>Table5[[#This Row],[Build]]-Table5[[#This Row],[No Build]]</f>
        <v>0</v>
      </c>
      <c r="G28" s="15"/>
    </row>
  </sheetData>
  <conditionalFormatting sqref="F2:F8">
    <cfRule type="cellIs" dxfId="17" priority="11" operator="lessThan">
      <formula>0</formula>
    </cfRule>
    <cfRule type="cellIs" dxfId="16" priority="12" operator="greaterThan">
      <formula>0</formula>
    </cfRule>
  </conditionalFormatting>
  <conditionalFormatting sqref="F5:F8">
    <cfRule type="cellIs" dxfId="15" priority="3" operator="greaterThan">
      <formula>0</formula>
    </cfRule>
    <cfRule type="cellIs" dxfId="14" priority="4" operator="lessThan">
      <formula>0</formula>
    </cfRule>
  </conditionalFormatting>
  <conditionalFormatting sqref="F7:F8">
    <cfRule type="cellIs" dxfId="13" priority="1" operator="lessThan">
      <formula>0</formula>
    </cfRule>
    <cfRule type="cellIs" dxfId="12" priority="2" operator="greaterThan">
      <formula>0</formula>
    </cfRule>
  </conditionalFormatting>
  <conditionalFormatting sqref="F11:F18">
    <cfRule type="cellIs" dxfId="11" priority="7" operator="lessThan">
      <formula>0</formula>
    </cfRule>
    <cfRule type="cellIs" dxfId="10" priority="8" operator="greaterThan">
      <formula>0</formula>
    </cfRule>
  </conditionalFormatting>
  <conditionalFormatting sqref="F19:F22">
    <cfRule type="cellIs" dxfId="9" priority="5" operator="lessThan">
      <formula>0</formula>
    </cfRule>
    <cfRule type="cellIs" dxfId="8" priority="6" operator="greaterThan">
      <formula>0</formula>
    </cfRule>
  </conditionalFormatting>
  <pageMargins left="0.7" right="0.7" top="0.75" bottom="0.75" header="0.3" footer="0.3"/>
  <ignoredErrors>
    <ignoredError sqref="F5" formula="1"/>
    <ignoredError sqref="E20:F20 E22:F22" evalError="1"/>
  </ignoredErrors>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FA57F-7F6C-4B0E-ADC9-593F5E2CF016}">
  <sheetPr>
    <tabColor theme="1" tint="0.499984740745262"/>
  </sheetPr>
  <dimension ref="A1:M56"/>
  <sheetViews>
    <sheetView topLeftCell="A21" zoomScaleNormal="100" workbookViewId="0">
      <selection activeCell="D34" sqref="D34:K34"/>
    </sheetView>
  </sheetViews>
  <sheetFormatPr defaultRowHeight="15" x14ac:dyDescent="0.25"/>
  <cols>
    <col min="1" max="1" width="32.28515625" customWidth="1"/>
    <col min="2" max="2" width="16.5703125" customWidth="1"/>
    <col min="3" max="3" width="8.85546875" style="15" customWidth="1"/>
    <col min="4" max="4" width="31.85546875" bestFit="1" customWidth="1"/>
    <col min="5" max="5" width="23.42578125" customWidth="1"/>
    <col min="6" max="6" width="20.42578125" customWidth="1"/>
    <col min="7" max="7" width="21.42578125" customWidth="1"/>
    <col min="8" max="8" width="19.5703125" customWidth="1"/>
    <col min="9" max="9" width="24.28515625" customWidth="1"/>
    <col min="10" max="10" width="22.5703125" customWidth="1"/>
    <col min="11" max="11" width="24.85546875" bestFit="1" customWidth="1"/>
    <col min="12" max="12" width="16.5703125" bestFit="1" customWidth="1"/>
    <col min="13" max="13" width="13.42578125" bestFit="1" customWidth="1"/>
    <col min="14" max="14" width="22.28515625" bestFit="1" customWidth="1"/>
    <col min="15" max="16" width="14.28515625" bestFit="1" customWidth="1"/>
    <col min="17" max="17" width="19.5703125" bestFit="1" customWidth="1"/>
    <col min="18" max="18" width="19.5703125" customWidth="1"/>
    <col min="19" max="19" width="22.5703125" bestFit="1" customWidth="1"/>
    <col min="20" max="20" width="14.28515625" bestFit="1" customWidth="1"/>
    <col min="21" max="21" width="11.140625" bestFit="1" customWidth="1"/>
  </cols>
  <sheetData>
    <row r="1" spans="1:13" ht="23.25" customHeight="1" x14ac:dyDescent="0.35">
      <c r="A1" s="231" t="s">
        <v>147</v>
      </c>
      <c r="B1" s="233"/>
      <c r="C1" s="118"/>
      <c r="D1" s="248" t="s">
        <v>87</v>
      </c>
      <c r="E1" s="249"/>
    </row>
    <row r="2" spans="1:13" ht="15" customHeight="1" x14ac:dyDescent="0.25">
      <c r="A2" s="234"/>
      <c r="B2" s="236"/>
      <c r="C2" s="118"/>
    </row>
    <row r="3" spans="1:13" x14ac:dyDescent="0.25">
      <c r="A3" s="234"/>
      <c r="B3" s="236"/>
      <c r="C3" s="118"/>
      <c r="D3" s="25" t="s">
        <v>89</v>
      </c>
      <c r="E3" s="24" t="s">
        <v>90</v>
      </c>
    </row>
    <row r="4" spans="1:13" x14ac:dyDescent="0.25">
      <c r="A4" s="234"/>
      <c r="B4" s="236"/>
      <c r="C4" s="118"/>
      <c r="D4" s="11" t="s">
        <v>91</v>
      </c>
      <c r="E4" s="93"/>
    </row>
    <row r="5" spans="1:13" x14ac:dyDescent="0.25">
      <c r="A5" s="234"/>
      <c r="B5" s="236"/>
      <c r="C5" s="118"/>
      <c r="D5" s="11" t="s">
        <v>92</v>
      </c>
      <c r="E5" s="93"/>
    </row>
    <row r="6" spans="1:13" x14ac:dyDescent="0.25">
      <c r="A6" s="234"/>
      <c r="B6" s="236"/>
      <c r="C6" s="118"/>
      <c r="D6" s="22" t="s">
        <v>93</v>
      </c>
      <c r="E6" s="94"/>
    </row>
    <row r="7" spans="1:13" x14ac:dyDescent="0.25">
      <c r="A7" s="234"/>
      <c r="B7" s="236"/>
      <c r="C7" s="118"/>
    </row>
    <row r="8" spans="1:13" s="1" customFormat="1" ht="24" customHeight="1" x14ac:dyDescent="0.3">
      <c r="A8" s="234"/>
      <c r="B8" s="236"/>
      <c r="C8" s="43"/>
      <c r="D8" s="244" t="s">
        <v>1</v>
      </c>
      <c r="E8" s="245"/>
      <c r="F8" s="245"/>
      <c r="G8" s="245"/>
      <c r="H8" s="245"/>
      <c r="I8" s="245"/>
      <c r="J8" s="245"/>
      <c r="K8" s="245"/>
      <c r="L8" s="245"/>
      <c r="M8" s="246"/>
    </row>
    <row r="9" spans="1:13" s="1" customFormat="1" ht="17.25" customHeight="1" x14ac:dyDescent="0.25">
      <c r="A9" s="234"/>
      <c r="B9" s="236"/>
      <c r="C9" s="119"/>
      <c r="D9" s="19" t="s">
        <v>120</v>
      </c>
      <c r="E9" s="20" t="s">
        <v>14</v>
      </c>
      <c r="F9" s="20" t="s">
        <v>15</v>
      </c>
      <c r="G9" s="20" t="s">
        <v>94</v>
      </c>
      <c r="H9" s="20" t="s">
        <v>95</v>
      </c>
      <c r="I9" s="20" t="s">
        <v>8</v>
      </c>
      <c r="J9" s="20" t="s">
        <v>9</v>
      </c>
      <c r="K9" s="20" t="s">
        <v>6</v>
      </c>
      <c r="L9" s="20" t="s">
        <v>7</v>
      </c>
      <c r="M9" s="21" t="s">
        <v>10</v>
      </c>
    </row>
    <row r="10" spans="1:13" x14ac:dyDescent="0.25">
      <c r="A10" s="124"/>
      <c r="B10" s="125"/>
      <c r="D10" s="58" t="s">
        <v>132</v>
      </c>
      <c r="E10" s="91"/>
      <c r="F10" s="91"/>
      <c r="G10" s="91"/>
      <c r="H10" s="90"/>
      <c r="I10" s="4" t="str">
        <f>IFERROR($E$4/Table1[[#This Row],[No Build Speed]],"")</f>
        <v/>
      </c>
      <c r="J10" s="4" t="str">
        <f>IFERROR($E$4/Table1[[#This Row],[Build Speed]],"")</f>
        <v/>
      </c>
      <c r="K10" s="4" t="str">
        <f>IFERROR($E$4/$E$5,"")</f>
        <v/>
      </c>
      <c r="L10" s="4" t="str">
        <f>IFERROR(E10*(I10-K10),"")</f>
        <v/>
      </c>
      <c r="M10" s="4" t="str">
        <f>IFERROR(F10*(J10-K10),"")</f>
        <v/>
      </c>
    </row>
    <row r="11" spans="1:13" ht="18" customHeight="1" x14ac:dyDescent="0.25">
      <c r="A11" s="242" t="s">
        <v>137</v>
      </c>
      <c r="B11" s="243"/>
      <c r="D11" s="11" t="s">
        <v>0</v>
      </c>
      <c r="E11" s="80"/>
      <c r="F11" s="80"/>
      <c r="G11" s="80"/>
      <c r="H11" s="90"/>
      <c r="I11" s="4" t="str">
        <f>IFERROR($E$4/Table1[[#This Row],[No Build Speed]],"")</f>
        <v/>
      </c>
      <c r="J11" s="4" t="str">
        <f>IFERROR($E$4/Table1[[#This Row],[Build Speed]],"")</f>
        <v/>
      </c>
      <c r="K11" s="4" t="str">
        <f>IFERROR($E$4/$E$5,"")</f>
        <v/>
      </c>
      <c r="L11" s="4" t="str">
        <f>IFERROR(E11*(I11-K11),"")</f>
        <v/>
      </c>
      <c r="M11" s="4" t="str">
        <f>IFERROR(F11*(J11-K11),"")</f>
        <v/>
      </c>
    </row>
    <row r="12" spans="1:13" ht="18" customHeight="1" x14ac:dyDescent="0.25">
      <c r="A12" s="242"/>
      <c r="B12" s="243"/>
      <c r="D12" s="11" t="s">
        <v>133</v>
      </c>
      <c r="E12" s="80"/>
      <c r="F12" s="80"/>
      <c r="G12" s="80"/>
      <c r="H12" s="90"/>
      <c r="I12" s="4" t="str">
        <f>IFERROR($E$4/Table1[[#This Row],[No Build Speed]],"")</f>
        <v/>
      </c>
      <c r="J12" s="4" t="str">
        <f>IFERROR($E$4/Table1[[#This Row],[Build Speed]],"")</f>
        <v/>
      </c>
      <c r="K12" s="4" t="str">
        <f>IFERROR($E$4/$E$5,"")</f>
        <v/>
      </c>
      <c r="L12" s="4" t="str">
        <f>IFERROR(E12*(I12-K12),"")</f>
        <v/>
      </c>
      <c r="M12" s="4" t="str">
        <f>IFERROR(F12*(J12-K12),"")</f>
        <v/>
      </c>
    </row>
    <row r="13" spans="1:13" x14ac:dyDescent="0.25">
      <c r="A13" s="124"/>
      <c r="B13" s="125"/>
      <c r="D13" s="11" t="s">
        <v>2</v>
      </c>
      <c r="E13" s="80"/>
      <c r="F13" s="80"/>
      <c r="G13" s="80"/>
      <c r="H13" s="90"/>
      <c r="I13" s="4" t="str">
        <f>IFERROR($E$4/Table1[[#This Row],[No Build Speed]],"")</f>
        <v/>
      </c>
      <c r="J13" s="4" t="str">
        <f>IFERROR($E$4/Table1[[#This Row],[Build Speed]],"")</f>
        <v/>
      </c>
      <c r="K13" s="4" t="str">
        <f>IFERROR($E$4/$E$6,"")</f>
        <v/>
      </c>
      <c r="L13" s="4" t="str">
        <f t="shared" ref="L13:L17" si="0">IFERROR(E13*(I13-K13),"")</f>
        <v/>
      </c>
      <c r="M13" s="4" t="str">
        <f t="shared" ref="M13:M17" si="1">IFERROR(F13*(J13-K13),"")</f>
        <v/>
      </c>
    </row>
    <row r="14" spans="1:13" x14ac:dyDescent="0.25">
      <c r="A14" s="124"/>
      <c r="B14" s="125"/>
      <c r="D14" s="11" t="s">
        <v>134</v>
      </c>
      <c r="E14" s="80"/>
      <c r="F14" s="80"/>
      <c r="G14" s="80"/>
      <c r="H14" s="90"/>
      <c r="I14" s="4" t="str">
        <f>IFERROR($E$4/Table1[[#This Row],[No Build Speed]],"")</f>
        <v/>
      </c>
      <c r="J14" s="4" t="str">
        <f>IFERROR($E$4/Table1[[#This Row],[Build Speed]],"")</f>
        <v/>
      </c>
      <c r="K14" s="4" t="str">
        <f>IFERROR($E$4/$E$5,"")</f>
        <v/>
      </c>
      <c r="L14" s="4" t="str">
        <f>IFERROR(E14*(I14-K14),"")</f>
        <v/>
      </c>
      <c r="M14" s="4" t="str">
        <f>IFERROR(F14*(J14-K14),"")</f>
        <v/>
      </c>
    </row>
    <row r="15" spans="1:13" x14ac:dyDescent="0.25">
      <c r="A15" s="126"/>
      <c r="B15" s="125"/>
      <c r="D15" s="11" t="s">
        <v>135</v>
      </c>
      <c r="E15" s="80"/>
      <c r="F15" s="80"/>
      <c r="G15" s="80"/>
      <c r="H15" s="90"/>
      <c r="I15" s="4" t="str">
        <f>IFERROR($E$4/Table1[[#This Row],[No Build Speed]],"")</f>
        <v/>
      </c>
      <c r="J15" s="4" t="str">
        <f>IFERROR($E$4/Table1[[#This Row],[Build Speed]],"")</f>
        <v/>
      </c>
      <c r="K15" s="4" t="str">
        <f>IFERROR($E$4/$E$5,"")</f>
        <v/>
      </c>
      <c r="L15" s="4" t="str">
        <f>IFERROR(E15*(I15-K15),"")</f>
        <v/>
      </c>
      <c r="M15" s="4" t="str">
        <f>IFERROR(F15*(J15-K15),"")</f>
        <v/>
      </c>
    </row>
    <row r="16" spans="1:13" x14ac:dyDescent="0.25">
      <c r="A16" s="124"/>
      <c r="B16" s="125"/>
      <c r="D16" s="11" t="s">
        <v>3</v>
      </c>
      <c r="E16" s="80"/>
      <c r="F16" s="80"/>
      <c r="G16" s="80"/>
      <c r="H16" s="90"/>
      <c r="I16" s="4" t="str">
        <f>IFERROR($E$4/Table1[[#This Row],[No Build Speed]],"")</f>
        <v/>
      </c>
      <c r="J16" s="4" t="str">
        <f>IFERROR($E$4/Table1[[#This Row],[Build Speed]],"")</f>
        <v/>
      </c>
      <c r="K16" s="4" t="str">
        <f>IFERROR($E$4/$E$5,"")</f>
        <v/>
      </c>
      <c r="L16" s="4" t="str">
        <f t="shared" si="0"/>
        <v/>
      </c>
      <c r="M16" s="4" t="str">
        <f t="shared" si="1"/>
        <v/>
      </c>
    </row>
    <row r="17" spans="1:13" x14ac:dyDescent="0.25">
      <c r="A17" s="124"/>
      <c r="B17" s="125"/>
      <c r="D17" s="11" t="s">
        <v>4</v>
      </c>
      <c r="E17" s="80"/>
      <c r="F17" s="80"/>
      <c r="G17" s="80"/>
      <c r="H17" s="90"/>
      <c r="I17" s="4" t="str">
        <f>IFERROR($E$4/Table1[[#This Row],[No Build Speed]],"")</f>
        <v/>
      </c>
      <c r="J17" s="4" t="str">
        <f>IFERROR($E$4/Table1[[#This Row],[Build Speed]],"")</f>
        <v/>
      </c>
      <c r="K17" s="4" t="str">
        <f>IFERROR($E$4/$E$6,"")</f>
        <v/>
      </c>
      <c r="L17" s="4" t="str">
        <f t="shared" si="0"/>
        <v/>
      </c>
      <c r="M17" s="4" t="str">
        <f t="shared" si="1"/>
        <v/>
      </c>
    </row>
    <row r="18" spans="1:13" x14ac:dyDescent="0.25">
      <c r="A18" s="124"/>
      <c r="B18" s="125"/>
      <c r="D18" s="11" t="s">
        <v>12</v>
      </c>
      <c r="E18" s="5">
        <f>SUBTOTAL(109,Table1[No Build Volume/ Year])</f>
        <v>0</v>
      </c>
      <c r="F18" s="5">
        <f>SUBTOTAL(109,Table1[Build Volume/ Year])</f>
        <v>0</v>
      </c>
      <c r="G18" s="2"/>
      <c r="H18" s="2"/>
      <c r="I18" s="2"/>
      <c r="J18" s="2"/>
      <c r="K18" s="2"/>
      <c r="L18" s="117">
        <f>SUBTOTAL(109,Table1[No Build DVHD])</f>
        <v>0</v>
      </c>
      <c r="M18" s="2">
        <f>SUBTOTAL(109,Table1[Build DVHD])</f>
        <v>0</v>
      </c>
    </row>
    <row r="19" spans="1:13" x14ac:dyDescent="0.25">
      <c r="A19" s="124"/>
      <c r="B19" s="125"/>
    </row>
    <row r="20" spans="1:13" x14ac:dyDescent="0.25">
      <c r="A20" s="126"/>
      <c r="B20" s="125"/>
    </row>
    <row r="21" spans="1:13" ht="18.75" x14ac:dyDescent="0.3">
      <c r="A21" s="126"/>
      <c r="B21" s="125"/>
      <c r="D21" s="244" t="s">
        <v>5</v>
      </c>
      <c r="E21" s="245"/>
      <c r="F21" s="245"/>
      <c r="G21" s="245"/>
      <c r="H21" s="245"/>
      <c r="I21" s="245"/>
      <c r="J21" s="245"/>
      <c r="K21" s="245"/>
      <c r="L21" s="245"/>
      <c r="M21" s="246"/>
    </row>
    <row r="22" spans="1:13" x14ac:dyDescent="0.25">
      <c r="A22" s="126"/>
      <c r="B22" s="125"/>
      <c r="D22" s="19" t="s">
        <v>120</v>
      </c>
      <c r="E22" s="20" t="s">
        <v>14</v>
      </c>
      <c r="F22" s="20" t="s">
        <v>15</v>
      </c>
      <c r="G22" s="20" t="s">
        <v>94</v>
      </c>
      <c r="H22" s="20" t="s">
        <v>95</v>
      </c>
      <c r="I22" s="20" t="s">
        <v>8</v>
      </c>
      <c r="J22" s="20" t="s">
        <v>9</v>
      </c>
      <c r="K22" s="20" t="s">
        <v>6</v>
      </c>
      <c r="L22" s="20" t="s">
        <v>7</v>
      </c>
      <c r="M22" s="21" t="s">
        <v>10</v>
      </c>
    </row>
    <row r="23" spans="1:13" x14ac:dyDescent="0.25">
      <c r="A23" s="126"/>
      <c r="B23" s="125"/>
      <c r="D23" s="58" t="s">
        <v>132</v>
      </c>
      <c r="E23" s="91"/>
      <c r="F23" s="91"/>
      <c r="G23" s="91"/>
      <c r="H23" s="91"/>
      <c r="I23" s="4" t="str">
        <f>IFERROR($E$4/Table2[[#This Row],[No Build Speed]],"")</f>
        <v/>
      </c>
      <c r="J23" s="4" t="str">
        <f>IFERROR($E$4/Table2[[#This Row],[Build Speed]],"")</f>
        <v/>
      </c>
      <c r="K23" s="4" t="str">
        <f>IFERROR($E$4/$E$5,"")</f>
        <v/>
      </c>
      <c r="L23" s="4" t="str">
        <f>IFERROR(E23*(I23-K23),"")</f>
        <v/>
      </c>
      <c r="M23" s="18" t="str">
        <f>IFERROR(E23*(J23-K23),"")</f>
        <v/>
      </c>
    </row>
    <row r="24" spans="1:13" x14ac:dyDescent="0.25">
      <c r="A24" s="126"/>
      <c r="B24" s="125"/>
      <c r="D24" s="11" t="s">
        <v>0</v>
      </c>
      <c r="E24" s="80"/>
      <c r="F24" s="80"/>
      <c r="G24" s="80"/>
      <c r="H24" s="80"/>
      <c r="I24" s="4" t="str">
        <f>IFERROR($E$4/Table2[[#This Row],[No Build Speed]],"")</f>
        <v/>
      </c>
      <c r="J24" s="4" t="str">
        <f>IFERROR($E$4/Table2[[#This Row],[Build Speed]],"")</f>
        <v/>
      </c>
      <c r="K24" s="4" t="str">
        <f>IFERROR($E$4/$E$5,"")</f>
        <v/>
      </c>
      <c r="L24" s="4" t="str">
        <f>IFERROR(E24*(I24-K24),"")</f>
        <v/>
      </c>
      <c r="M24" s="18" t="str">
        <f>IFERROR(E24*(J24-K24),"")</f>
        <v/>
      </c>
    </row>
    <row r="25" spans="1:13" x14ac:dyDescent="0.25">
      <c r="A25" s="126"/>
      <c r="B25" s="125"/>
      <c r="D25" s="11" t="s">
        <v>133</v>
      </c>
      <c r="E25" s="80"/>
      <c r="F25" s="80"/>
      <c r="G25" s="80"/>
      <c r="H25" s="80"/>
      <c r="I25" s="4" t="str">
        <f>IFERROR($E$4/Table2[[#This Row],[No Build Speed]],"")</f>
        <v/>
      </c>
      <c r="J25" s="4" t="str">
        <f>IFERROR($E$4/Table2[[#This Row],[Build Speed]],"")</f>
        <v/>
      </c>
      <c r="K25" s="4" t="str">
        <f>IFERROR($E$4/$E$5,"")</f>
        <v/>
      </c>
      <c r="L25" s="4" t="str">
        <f>IFERROR(E25*(I25-K25),"")</f>
        <v/>
      </c>
      <c r="M25" s="18" t="str">
        <f>IFERROR(E25*(J25-K25),"")</f>
        <v/>
      </c>
    </row>
    <row r="26" spans="1:13" x14ac:dyDescent="0.25">
      <c r="A26" s="126"/>
      <c r="B26" s="125"/>
      <c r="D26" s="11" t="s">
        <v>2</v>
      </c>
      <c r="E26" s="80"/>
      <c r="F26" s="80"/>
      <c r="G26" s="80"/>
      <c r="H26" s="80"/>
      <c r="I26" s="4" t="str">
        <f>IFERROR($E$4/Table2[[#This Row],[No Build Speed]],"")</f>
        <v/>
      </c>
      <c r="J26" s="4" t="str">
        <f>IFERROR($E$4/Table2[[#This Row],[Build Speed]],"")</f>
        <v/>
      </c>
      <c r="K26" s="4" t="str">
        <f>IFERROR($E$4/$E$6,"")</f>
        <v/>
      </c>
      <c r="L26" s="4" t="str">
        <f t="shared" ref="L26:L30" si="2">IFERROR(E26*(I26-K26),"")</f>
        <v/>
      </c>
      <c r="M26" s="18" t="str">
        <f t="shared" ref="M26:M30" si="3">IFERROR(E26*(J26-K26),"")</f>
        <v/>
      </c>
    </row>
    <row r="27" spans="1:13" x14ac:dyDescent="0.25">
      <c r="A27" s="126"/>
      <c r="B27" s="125"/>
      <c r="C27" s="120"/>
      <c r="D27" s="11" t="s">
        <v>134</v>
      </c>
      <c r="E27" s="80"/>
      <c r="F27" s="80"/>
      <c r="G27" s="80"/>
      <c r="H27" s="80"/>
      <c r="I27" s="4" t="str">
        <f>IFERROR($E$4/Table2[[#This Row],[No Build Speed]],"")</f>
        <v/>
      </c>
      <c r="J27" s="4" t="str">
        <f>IFERROR($E$4/Table2[[#This Row],[Build Speed]],"")</f>
        <v/>
      </c>
      <c r="K27" s="4" t="str">
        <f>IFERROR($E$4/$E$5,"")</f>
        <v/>
      </c>
      <c r="L27" s="4" t="str">
        <f>IFERROR(E27*(I27-K27),"")</f>
        <v/>
      </c>
      <c r="M27" s="18" t="str">
        <f>IFERROR(E27*(J27-K27),"")</f>
        <v/>
      </c>
    </row>
    <row r="28" spans="1:13" ht="18.75" x14ac:dyDescent="0.25">
      <c r="A28" s="240" t="s">
        <v>136</v>
      </c>
      <c r="B28" s="241"/>
      <c r="D28" s="11" t="s">
        <v>135</v>
      </c>
      <c r="E28" s="80"/>
      <c r="F28" s="80"/>
      <c r="G28" s="80"/>
      <c r="H28" s="80"/>
      <c r="I28" s="4" t="str">
        <f>IFERROR($E$4/Table2[[#This Row],[No Build Speed]],"")</f>
        <v/>
      </c>
      <c r="J28" s="4" t="str">
        <f>IFERROR($E$4/Table2[[#This Row],[Build Speed]],"")</f>
        <v/>
      </c>
      <c r="K28" s="4" t="str">
        <f>IFERROR($E$4/$E$5,"")</f>
        <v/>
      </c>
      <c r="L28" s="4" t="str">
        <f>IFERROR(E28*(I28-K28),"")</f>
        <v/>
      </c>
      <c r="M28" s="18" t="str">
        <f>IFERROR(E28*(J28-K28),"")</f>
        <v/>
      </c>
    </row>
    <row r="29" spans="1:13" x14ac:dyDescent="0.25">
      <c r="A29" s="126"/>
      <c r="B29" s="125"/>
      <c r="D29" s="11" t="s">
        <v>3</v>
      </c>
      <c r="E29" s="80"/>
      <c r="F29" s="80"/>
      <c r="G29" s="80"/>
      <c r="H29" s="80"/>
      <c r="I29" s="4" t="str">
        <f>IFERROR($E$4/Table2[[#This Row],[No Build Speed]],"")</f>
        <v/>
      </c>
      <c r="J29" s="4" t="str">
        <f>IFERROR($E$4/Table2[[#This Row],[Build Speed]],"")</f>
        <v/>
      </c>
      <c r="K29" s="4" t="str">
        <f>IFERROR($E$4/$E$5,"")</f>
        <v/>
      </c>
      <c r="L29" s="4" t="str">
        <f>IFERROR(E29*(I29-K29),"")</f>
        <v/>
      </c>
      <c r="M29" s="18" t="str">
        <f>IFERROR(E29*(J29-K29),"")</f>
        <v/>
      </c>
    </row>
    <row r="30" spans="1:13" x14ac:dyDescent="0.25">
      <c r="A30" s="126"/>
      <c r="B30" s="125"/>
      <c r="D30" s="11" t="s">
        <v>4</v>
      </c>
      <c r="E30" s="80"/>
      <c r="F30" s="80"/>
      <c r="G30" s="80"/>
      <c r="H30" s="80"/>
      <c r="I30" s="4" t="str">
        <f>IFERROR($E$4/Table2[[#This Row],[No Build Speed]],"")</f>
        <v/>
      </c>
      <c r="J30" s="4" t="str">
        <f>IFERROR($E$4/Table2[[#This Row],[Build Speed]],"")</f>
        <v/>
      </c>
      <c r="K30" s="4" t="str">
        <f>IFERROR($E$4/$E$6,"")</f>
        <v/>
      </c>
      <c r="L30" s="4" t="str">
        <f t="shared" si="2"/>
        <v/>
      </c>
      <c r="M30" s="18" t="str">
        <f t="shared" si="3"/>
        <v/>
      </c>
    </row>
    <row r="31" spans="1:13" x14ac:dyDescent="0.25">
      <c r="A31" s="126"/>
      <c r="B31" s="125"/>
      <c r="D31" s="22" t="s">
        <v>12</v>
      </c>
      <c r="E31" s="39">
        <f>SUBTOTAL(109,Table2[No Build Volume/ Year])</f>
        <v>0</v>
      </c>
      <c r="F31" s="39">
        <f>SUBTOTAL(109,Table2[Build Volume/ Year])</f>
        <v>0</v>
      </c>
      <c r="G31" s="38"/>
      <c r="H31" s="38"/>
      <c r="I31" s="88"/>
      <c r="J31" s="88"/>
      <c r="K31" s="88"/>
      <c r="L31" s="89">
        <f>SUBTOTAL(109,Table2[No Build DVHD])</f>
        <v>0</v>
      </c>
      <c r="M31" s="116">
        <f>SUBTOTAL(109,Table2[Build DVHD])</f>
        <v>0</v>
      </c>
    </row>
    <row r="32" spans="1:13" x14ac:dyDescent="0.25">
      <c r="A32" s="126"/>
      <c r="B32" s="125"/>
    </row>
    <row r="33" spans="1:11" x14ac:dyDescent="0.25">
      <c r="A33" s="126"/>
      <c r="B33" s="125"/>
    </row>
    <row r="34" spans="1:11" ht="18.75" x14ac:dyDescent="0.3">
      <c r="A34" s="126"/>
      <c r="B34" s="125"/>
      <c r="D34" s="247" t="s">
        <v>11</v>
      </c>
      <c r="E34" s="247"/>
      <c r="F34" s="247"/>
      <c r="G34" s="247"/>
      <c r="H34" s="247"/>
      <c r="I34" s="247"/>
      <c r="J34" s="247"/>
      <c r="K34" s="247"/>
    </row>
    <row r="35" spans="1:11" x14ac:dyDescent="0.25">
      <c r="A35" s="126"/>
      <c r="B35" s="125"/>
      <c r="D35" s="19" t="s">
        <v>120</v>
      </c>
      <c r="E35" s="29" t="s">
        <v>14</v>
      </c>
      <c r="F35" s="29" t="s">
        <v>15</v>
      </c>
      <c r="G35" s="29" t="s">
        <v>8</v>
      </c>
      <c r="H35" s="29" t="s">
        <v>9</v>
      </c>
      <c r="I35" s="29" t="s">
        <v>6</v>
      </c>
      <c r="J35" s="29" t="s">
        <v>18</v>
      </c>
      <c r="K35" s="30" t="s">
        <v>19</v>
      </c>
    </row>
    <row r="36" spans="1:11" x14ac:dyDescent="0.25">
      <c r="A36" s="126"/>
      <c r="B36" s="125"/>
      <c r="D36" s="46" t="s">
        <v>132</v>
      </c>
      <c r="E36" s="34">
        <f t="shared" ref="E36:F43" si="4">E10+E23</f>
        <v>0</v>
      </c>
      <c r="F36" s="34">
        <f t="shared" si="4"/>
        <v>0</v>
      </c>
      <c r="G36" s="2" t="str">
        <f>IF(I10="",I23,I10)</f>
        <v/>
      </c>
      <c r="H36" s="2" t="str">
        <f>IF(J10="",J23,J10)</f>
        <v/>
      </c>
      <c r="I36" s="35" t="str">
        <f>IFERROR($E$4/$E$5,"")</f>
        <v/>
      </c>
      <c r="J36" s="35" t="str">
        <f>IFERROR(E36*(G36-I36),"")</f>
        <v/>
      </c>
      <c r="K36" s="36" t="str">
        <f>IFERROR(F36*(H36-I36),"")</f>
        <v/>
      </c>
    </row>
    <row r="37" spans="1:11" x14ac:dyDescent="0.25">
      <c r="A37" s="126"/>
      <c r="B37" s="125"/>
      <c r="D37" s="33" t="s">
        <v>0</v>
      </c>
      <c r="E37" s="34">
        <f t="shared" si="4"/>
        <v>0</v>
      </c>
      <c r="F37" s="34">
        <f t="shared" si="4"/>
        <v>0</v>
      </c>
      <c r="G37" s="2" t="str">
        <f t="shared" ref="G37:G43" si="5">IF(I11="",I24,I11)</f>
        <v/>
      </c>
      <c r="H37" s="2" t="str">
        <f t="shared" ref="H37:H43" si="6">IF(J11="",J24,J11)</f>
        <v/>
      </c>
      <c r="I37" s="35" t="str">
        <f>IFERROR($E$4/$E$5,"")</f>
        <v/>
      </c>
      <c r="J37" s="35" t="str">
        <f t="shared" ref="J37:J43" si="7">IFERROR(E37*(G37-I37),"")</f>
        <v/>
      </c>
      <c r="K37" s="36" t="str">
        <f t="shared" ref="K37:K43" si="8">IFERROR(F37*(H37-I37),"")</f>
        <v/>
      </c>
    </row>
    <row r="38" spans="1:11" x14ac:dyDescent="0.25">
      <c r="A38" s="126"/>
      <c r="B38" s="125"/>
      <c r="D38" s="33" t="s">
        <v>133</v>
      </c>
      <c r="E38" s="34">
        <f t="shared" si="4"/>
        <v>0</v>
      </c>
      <c r="F38" s="34">
        <f t="shared" si="4"/>
        <v>0</v>
      </c>
      <c r="G38" s="2" t="str">
        <f t="shared" si="5"/>
        <v/>
      </c>
      <c r="H38" s="2" t="str">
        <f t="shared" si="6"/>
        <v/>
      </c>
      <c r="I38" s="35" t="str">
        <f>IFERROR($E$4/$E$5,"")</f>
        <v/>
      </c>
      <c r="J38" s="35" t="str">
        <f t="shared" si="7"/>
        <v/>
      </c>
      <c r="K38" s="36" t="str">
        <f t="shared" si="8"/>
        <v/>
      </c>
    </row>
    <row r="39" spans="1:11" x14ac:dyDescent="0.25">
      <c r="A39" s="126"/>
      <c r="B39" s="125"/>
      <c r="D39" s="33" t="s">
        <v>2</v>
      </c>
      <c r="E39" s="34">
        <f t="shared" si="4"/>
        <v>0</v>
      </c>
      <c r="F39" s="34">
        <f t="shared" si="4"/>
        <v>0</v>
      </c>
      <c r="G39" s="2" t="str">
        <f t="shared" si="5"/>
        <v/>
      </c>
      <c r="H39" s="2" t="str">
        <f t="shared" si="6"/>
        <v/>
      </c>
      <c r="I39" s="35" t="str">
        <f>IFERROR($E$4/$E$6,"")</f>
        <v/>
      </c>
      <c r="J39" s="35" t="str">
        <f t="shared" si="7"/>
        <v/>
      </c>
      <c r="K39" s="36" t="str">
        <f t="shared" si="8"/>
        <v/>
      </c>
    </row>
    <row r="40" spans="1:11" x14ac:dyDescent="0.25">
      <c r="A40" s="126"/>
      <c r="B40" s="125"/>
      <c r="D40" s="33" t="s">
        <v>134</v>
      </c>
      <c r="E40" s="34">
        <f t="shared" si="4"/>
        <v>0</v>
      </c>
      <c r="F40" s="34">
        <f t="shared" si="4"/>
        <v>0</v>
      </c>
      <c r="G40" s="2" t="str">
        <f t="shared" si="5"/>
        <v/>
      </c>
      <c r="H40" s="2" t="str">
        <f t="shared" si="6"/>
        <v/>
      </c>
      <c r="I40" s="35" t="str">
        <f>IFERROR($E$4/$E$5,"")</f>
        <v/>
      </c>
      <c r="J40" s="35" t="str">
        <f t="shared" si="7"/>
        <v/>
      </c>
      <c r="K40" s="36" t="str">
        <f t="shared" si="8"/>
        <v/>
      </c>
    </row>
    <row r="41" spans="1:11" x14ac:dyDescent="0.25">
      <c r="A41" s="126"/>
      <c r="B41" s="125"/>
      <c r="D41" s="33" t="s">
        <v>135</v>
      </c>
      <c r="E41" s="34">
        <f t="shared" si="4"/>
        <v>0</v>
      </c>
      <c r="F41" s="34">
        <f t="shared" si="4"/>
        <v>0</v>
      </c>
      <c r="G41" s="2" t="str">
        <f t="shared" si="5"/>
        <v/>
      </c>
      <c r="H41" s="2" t="str">
        <f t="shared" si="6"/>
        <v/>
      </c>
      <c r="I41" s="35" t="str">
        <f>IFERROR($E$4/$E$5,"")</f>
        <v/>
      </c>
      <c r="J41" s="35" t="str">
        <f t="shared" si="7"/>
        <v/>
      </c>
      <c r="K41" s="36" t="str">
        <f t="shared" si="8"/>
        <v/>
      </c>
    </row>
    <row r="42" spans="1:11" x14ac:dyDescent="0.25">
      <c r="A42" s="126"/>
      <c r="B42" s="125"/>
      <c r="D42" s="33" t="s">
        <v>3</v>
      </c>
      <c r="E42" s="34">
        <f t="shared" si="4"/>
        <v>0</v>
      </c>
      <c r="F42" s="34">
        <f t="shared" si="4"/>
        <v>0</v>
      </c>
      <c r="G42" s="2" t="str">
        <f t="shared" si="5"/>
        <v/>
      </c>
      <c r="H42" s="2" t="str">
        <f t="shared" si="6"/>
        <v/>
      </c>
      <c r="I42" s="35" t="str">
        <f>IFERROR($E$4/$E$5,"")</f>
        <v/>
      </c>
      <c r="J42" s="35" t="str">
        <f t="shared" si="7"/>
        <v/>
      </c>
      <c r="K42" s="36" t="str">
        <f t="shared" si="8"/>
        <v/>
      </c>
    </row>
    <row r="43" spans="1:11" x14ac:dyDescent="0.25">
      <c r="A43" s="126"/>
      <c r="B43" s="125"/>
      <c r="D43" s="33" t="s">
        <v>4</v>
      </c>
      <c r="E43" s="34">
        <f t="shared" si="4"/>
        <v>0</v>
      </c>
      <c r="F43" s="34">
        <f t="shared" si="4"/>
        <v>0</v>
      </c>
      <c r="G43" s="2" t="str">
        <f t="shared" si="5"/>
        <v/>
      </c>
      <c r="H43" s="2" t="str">
        <f t="shared" si="6"/>
        <v/>
      </c>
      <c r="I43" s="35" t="str">
        <f>IFERROR($E$4/$E$6,"")</f>
        <v/>
      </c>
      <c r="J43" s="35" t="str">
        <f t="shared" si="7"/>
        <v/>
      </c>
      <c r="K43" s="36" t="str">
        <f t="shared" si="8"/>
        <v/>
      </c>
    </row>
    <row r="44" spans="1:11" x14ac:dyDescent="0.25">
      <c r="A44" s="126"/>
      <c r="B44" s="125"/>
      <c r="D44" s="114" t="s">
        <v>12</v>
      </c>
      <c r="E44" s="109">
        <f>SUBTOTAL(109,Table3[No Build Volume/ Year])</f>
        <v>0</v>
      </c>
      <c r="F44" s="109">
        <f>SUBTOTAL(109,Table3[Build Volume/ Year])</f>
        <v>0</v>
      </c>
      <c r="G44" s="108"/>
      <c r="H44" s="108"/>
      <c r="I44" s="108"/>
      <c r="J44" s="113">
        <f>SUBTOTAL(109,Table3[No Build Yearly DVHD])</f>
        <v>0</v>
      </c>
      <c r="K44" s="115">
        <f>SUBTOTAL(109,Table3[Build Yearly DVHD])</f>
        <v>0</v>
      </c>
    </row>
    <row r="45" spans="1:11" x14ac:dyDescent="0.25">
      <c r="A45" s="126"/>
      <c r="B45" s="125"/>
    </row>
    <row r="46" spans="1:11" x14ac:dyDescent="0.25">
      <c r="A46" s="126"/>
      <c r="B46" s="125"/>
    </row>
    <row r="47" spans="1:11" ht="18.75" x14ac:dyDescent="0.3">
      <c r="A47" s="126"/>
      <c r="B47" s="125"/>
      <c r="D47" s="244" t="s">
        <v>87</v>
      </c>
      <c r="E47" s="245"/>
      <c r="F47" s="245"/>
      <c r="G47" s="246"/>
    </row>
    <row r="48" spans="1:11" x14ac:dyDescent="0.25">
      <c r="A48" s="126"/>
      <c r="B48" s="125"/>
      <c r="D48" s="28" t="s">
        <v>88</v>
      </c>
      <c r="E48" s="29" t="s">
        <v>13</v>
      </c>
      <c r="F48" s="29" t="s">
        <v>40</v>
      </c>
      <c r="G48" s="30" t="s">
        <v>20</v>
      </c>
    </row>
    <row r="49" spans="1:7" x14ac:dyDescent="0.25">
      <c r="A49" s="126"/>
      <c r="B49" s="125"/>
      <c r="D49" s="26" t="s">
        <v>16</v>
      </c>
      <c r="E49" s="134">
        <f>SUM(J37,J42,J36,J38,J40,J41)/365</f>
        <v>0</v>
      </c>
      <c r="F49" s="134">
        <f>SUM(K37,K42,K36,K38,K40,K41)/365</f>
        <v>0</v>
      </c>
      <c r="G49" s="135">
        <f>F49-E49</f>
        <v>0</v>
      </c>
    </row>
    <row r="50" spans="1:7" x14ac:dyDescent="0.25">
      <c r="A50" s="126"/>
      <c r="B50" s="125"/>
      <c r="D50" s="27" t="s">
        <v>17</v>
      </c>
      <c r="E50" s="136">
        <f>SUM(J39,J43)/365</f>
        <v>0</v>
      </c>
      <c r="F50" s="137">
        <f>SUM(K39,K43)/365</f>
        <v>0</v>
      </c>
      <c r="G50" s="138">
        <f>E50-F50</f>
        <v>0</v>
      </c>
    </row>
    <row r="51" spans="1:7" x14ac:dyDescent="0.25">
      <c r="A51" s="126"/>
      <c r="B51" s="125"/>
    </row>
    <row r="52" spans="1:7" x14ac:dyDescent="0.25">
      <c r="A52" s="126"/>
      <c r="B52" s="125"/>
    </row>
    <row r="53" spans="1:7" x14ac:dyDescent="0.25">
      <c r="A53" s="126"/>
      <c r="B53" s="125"/>
    </row>
    <row r="54" spans="1:7" x14ac:dyDescent="0.25">
      <c r="A54" s="126"/>
      <c r="B54" s="125"/>
    </row>
    <row r="55" spans="1:7" x14ac:dyDescent="0.25">
      <c r="A55" s="126"/>
      <c r="B55" s="125"/>
    </row>
    <row r="56" spans="1:7" x14ac:dyDescent="0.25">
      <c r="A56" s="127"/>
      <c r="B56" s="128"/>
    </row>
  </sheetData>
  <mergeCells count="8">
    <mergeCell ref="A28:B28"/>
    <mergeCell ref="A1:B9"/>
    <mergeCell ref="A11:B12"/>
    <mergeCell ref="D47:G47"/>
    <mergeCell ref="D34:K34"/>
    <mergeCell ref="D1:E1"/>
    <mergeCell ref="D8:M8"/>
    <mergeCell ref="D21:M21"/>
  </mergeCells>
  <pageMargins left="0.7" right="0.7" top="0.75" bottom="0.75" header="0.3" footer="0.3"/>
  <pageSetup orientation="portrait" verticalDpi="0" r:id="rId1"/>
  <drawing r:id="rId2"/>
  <tableParts count="5">
    <tablePart r:id="rId3"/>
    <tablePart r:id="rId4"/>
    <tablePart r:id="rId5"/>
    <tablePart r:id="rId6"/>
    <tablePart r:id="rId7"/>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9A05D-3A93-4C90-924E-AF9119E0B6C5}">
  <sheetPr>
    <tabColor theme="1" tint="0.499984740745262"/>
  </sheetPr>
  <dimension ref="A1:Q9"/>
  <sheetViews>
    <sheetView zoomScaleNormal="100" workbookViewId="0">
      <selection activeCell="J7" sqref="J7"/>
    </sheetView>
  </sheetViews>
  <sheetFormatPr defaultRowHeight="15" x14ac:dyDescent="0.25"/>
  <cols>
    <col min="1" max="8" width="5.28515625" customWidth="1"/>
    <col min="9" max="9" width="6.85546875" customWidth="1"/>
    <col min="10" max="10" width="52.28515625" bestFit="1" customWidth="1"/>
    <col min="11" max="11" width="36.42578125" bestFit="1" customWidth="1"/>
    <col min="12" max="12" width="20.42578125" customWidth="1"/>
    <col min="13" max="13" width="22.7109375" bestFit="1" customWidth="1"/>
    <col min="14" max="14" width="19.5703125" customWidth="1"/>
    <col min="15" max="15" width="24.28515625" customWidth="1"/>
    <col min="16" max="17" width="22.5703125" customWidth="1"/>
    <col min="18" max="18" width="16.5703125" bestFit="1" customWidth="1"/>
    <col min="19" max="19" width="13.42578125" bestFit="1" customWidth="1"/>
    <col min="20" max="20" width="22.28515625" bestFit="1" customWidth="1"/>
    <col min="21" max="22" width="14.28515625" bestFit="1" customWidth="1"/>
    <col min="23" max="23" width="19.5703125" bestFit="1" customWidth="1"/>
    <col min="24" max="24" width="19.5703125" customWidth="1"/>
    <col min="25" max="25" width="22.5703125" bestFit="1" customWidth="1"/>
    <col min="26" max="26" width="14.28515625" bestFit="1" customWidth="1"/>
    <col min="27" max="27" width="11.140625" bestFit="1" customWidth="1"/>
  </cols>
  <sheetData>
    <row r="1" spans="1:17" ht="26.45" customHeight="1" x14ac:dyDescent="0.35">
      <c r="A1" s="250" t="s">
        <v>139</v>
      </c>
      <c r="B1" s="251"/>
      <c r="C1" s="251"/>
      <c r="D1" s="251"/>
      <c r="E1" s="251"/>
      <c r="F1" s="251"/>
      <c r="G1" s="251"/>
      <c r="H1" s="252"/>
      <c r="J1" s="123" t="s">
        <v>113</v>
      </c>
      <c r="K1" s="121"/>
    </row>
    <row r="2" spans="1:17" ht="27.6" customHeight="1" x14ac:dyDescent="0.25">
      <c r="A2" s="253"/>
      <c r="B2" s="254"/>
      <c r="C2" s="254"/>
      <c r="D2" s="254"/>
      <c r="E2" s="254"/>
      <c r="F2" s="254"/>
      <c r="G2" s="254"/>
      <c r="H2" s="255"/>
      <c r="J2" s="24" t="s">
        <v>138</v>
      </c>
    </row>
    <row r="3" spans="1:17" ht="31.5" customHeight="1" x14ac:dyDescent="0.25">
      <c r="A3" s="253"/>
      <c r="B3" s="254"/>
      <c r="C3" s="254"/>
      <c r="D3" s="254"/>
      <c r="E3" s="254"/>
      <c r="F3" s="254"/>
      <c r="G3" s="254"/>
      <c r="H3" s="255"/>
      <c r="J3" s="32"/>
    </row>
    <row r="4" spans="1:17" ht="21.6" customHeight="1" x14ac:dyDescent="0.25">
      <c r="A4" s="152"/>
      <c r="B4" s="153"/>
      <c r="C4" s="153"/>
      <c r="D4" s="153"/>
      <c r="E4" s="153"/>
      <c r="F4" s="153"/>
      <c r="G4" s="153"/>
      <c r="H4" s="154"/>
    </row>
    <row r="5" spans="1:17" ht="21.6" customHeight="1" x14ac:dyDescent="0.25">
      <c r="A5" s="126"/>
      <c r="B5" s="155"/>
      <c r="C5" s="155"/>
      <c r="D5" s="155"/>
      <c r="E5" s="155"/>
      <c r="F5" s="155"/>
      <c r="G5" s="155"/>
      <c r="H5" s="125"/>
    </row>
    <row r="6" spans="1:17" ht="21.6" customHeight="1" x14ac:dyDescent="0.3">
      <c r="A6" s="126"/>
      <c r="B6" s="155"/>
      <c r="C6" s="155"/>
      <c r="D6" s="155"/>
      <c r="E6" s="155"/>
      <c r="F6" s="155"/>
      <c r="G6" s="155"/>
      <c r="H6" s="125"/>
      <c r="N6" s="70"/>
      <c r="O6" s="70"/>
      <c r="P6" s="70"/>
      <c r="Q6" s="70"/>
    </row>
    <row r="7" spans="1:17" ht="21.6" customHeight="1" x14ac:dyDescent="0.25">
      <c r="A7" s="127"/>
      <c r="B7" s="156"/>
      <c r="C7" s="156"/>
      <c r="D7" s="156"/>
      <c r="E7" s="156"/>
      <c r="F7" s="156"/>
      <c r="G7" s="156"/>
      <c r="H7" s="128"/>
      <c r="N7" s="68"/>
      <c r="O7" s="68"/>
      <c r="P7" s="68"/>
      <c r="Q7" s="68"/>
    </row>
    <row r="8" spans="1:17" x14ac:dyDescent="0.25">
      <c r="N8" s="68"/>
      <c r="O8" s="69"/>
      <c r="P8" s="69"/>
      <c r="Q8" s="69"/>
    </row>
    <row r="9" spans="1:17" x14ac:dyDescent="0.25">
      <c r="N9" s="68"/>
      <c r="O9" s="71"/>
      <c r="P9" s="72"/>
      <c r="Q9" s="73"/>
    </row>
  </sheetData>
  <mergeCells count="1">
    <mergeCell ref="A1:H3"/>
  </mergeCells>
  <pageMargins left="0.7" right="0.7" top="0.75" bottom="0.75" header="0.3" footer="0.3"/>
  <pageSetup orientation="portrait" verticalDpi="0"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95626-F4F7-4044-A352-9AB8F9906A0A}">
  <sheetPr>
    <tabColor theme="1" tint="0.499984740745262"/>
  </sheetPr>
  <dimension ref="A1:O5"/>
  <sheetViews>
    <sheetView zoomScaleNormal="100" workbookViewId="0">
      <selection sqref="A1:H1"/>
    </sheetView>
  </sheetViews>
  <sheetFormatPr defaultRowHeight="15" x14ac:dyDescent="0.25"/>
  <cols>
    <col min="1" max="1" width="36.28515625" bestFit="1" customWidth="1"/>
    <col min="2" max="2" width="10.85546875" bestFit="1" customWidth="1"/>
    <col min="3" max="4" width="10" customWidth="1"/>
    <col min="9" max="9" width="4.85546875" customWidth="1"/>
    <col min="10" max="10" width="35.7109375" customWidth="1"/>
    <col min="11" max="11" width="28.7109375" bestFit="1" customWidth="1"/>
    <col min="12" max="12" width="28.140625" bestFit="1" customWidth="1"/>
    <col min="13" max="13" width="17.7109375" bestFit="1" customWidth="1"/>
    <col min="14" max="14" width="22.42578125" customWidth="1"/>
  </cols>
  <sheetData>
    <row r="1" spans="1:15" ht="52.5" customHeight="1" x14ac:dyDescent="0.35">
      <c r="A1" s="259" t="s">
        <v>140</v>
      </c>
      <c r="B1" s="260"/>
      <c r="C1" s="260"/>
      <c r="D1" s="260"/>
      <c r="E1" s="260"/>
      <c r="F1" s="260"/>
      <c r="G1" s="260"/>
      <c r="H1" s="261"/>
      <c r="N1" s="82"/>
      <c r="O1" s="77"/>
    </row>
    <row r="3" spans="1:15" ht="23.25" x14ac:dyDescent="0.35">
      <c r="A3" s="256" t="s">
        <v>125</v>
      </c>
      <c r="B3" s="257"/>
      <c r="C3" s="257"/>
      <c r="D3" s="258"/>
    </row>
    <row r="4" spans="1:15" x14ac:dyDescent="0.25">
      <c r="A4" t="s">
        <v>115</v>
      </c>
      <c r="B4" t="s">
        <v>103</v>
      </c>
      <c r="C4" t="s">
        <v>44</v>
      </c>
      <c r="D4" t="s">
        <v>20</v>
      </c>
    </row>
    <row r="5" spans="1:15" x14ac:dyDescent="0.25">
      <c r="A5" t="s">
        <v>126</v>
      </c>
      <c r="B5" s="78"/>
      <c r="C5" s="32"/>
      <c r="D5" s="141">
        <f>Table27[[#This Row],[Build]]-Table27[[#This Row],[No Build]]</f>
        <v>0</v>
      </c>
    </row>
  </sheetData>
  <mergeCells count="2">
    <mergeCell ref="A3:D3"/>
    <mergeCell ref="A1:H1"/>
  </mergeCells>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907C2-676F-40A0-81FD-E2D226A73592}">
  <sheetPr>
    <tabColor theme="1" tint="0.499984740745262"/>
  </sheetPr>
  <dimension ref="A1:H6"/>
  <sheetViews>
    <sheetView zoomScaleNormal="100" workbookViewId="0">
      <selection sqref="A1:H2"/>
    </sheetView>
  </sheetViews>
  <sheetFormatPr defaultRowHeight="15" x14ac:dyDescent="0.25"/>
  <cols>
    <col min="1" max="1" width="27.5703125" customWidth="1"/>
    <col min="2" max="8" width="9.7109375" customWidth="1"/>
  </cols>
  <sheetData>
    <row r="1" spans="1:8" x14ac:dyDescent="0.25">
      <c r="A1" s="231" t="s">
        <v>141</v>
      </c>
      <c r="B1" s="232"/>
      <c r="C1" s="232"/>
      <c r="D1" s="232"/>
      <c r="E1" s="232"/>
      <c r="F1" s="232"/>
      <c r="G1" s="232"/>
      <c r="H1" s="233"/>
    </row>
    <row r="2" spans="1:8" ht="33.75" customHeight="1" x14ac:dyDescent="0.25">
      <c r="A2" s="237"/>
      <c r="B2" s="238"/>
      <c r="C2" s="238"/>
      <c r="D2" s="238"/>
      <c r="E2" s="238"/>
      <c r="F2" s="238"/>
      <c r="G2" s="238"/>
      <c r="H2" s="239"/>
    </row>
    <row r="4" spans="1:8" ht="23.25" x14ac:dyDescent="0.35">
      <c r="A4" s="256" t="s">
        <v>116</v>
      </c>
      <c r="B4" s="257"/>
      <c r="C4" s="257"/>
      <c r="D4" s="258"/>
    </row>
    <row r="5" spans="1:8" x14ac:dyDescent="0.25">
      <c r="A5" t="s">
        <v>117</v>
      </c>
      <c r="B5" t="s">
        <v>103</v>
      </c>
      <c r="C5" t="s">
        <v>44</v>
      </c>
      <c r="D5" t="s">
        <v>20</v>
      </c>
    </row>
    <row r="6" spans="1:8" x14ac:dyDescent="0.25">
      <c r="A6" t="s">
        <v>118</v>
      </c>
      <c r="B6" s="32"/>
      <c r="C6" s="32"/>
      <c r="D6" s="142">
        <f>C6-B6</f>
        <v>0</v>
      </c>
    </row>
  </sheetData>
  <mergeCells count="2">
    <mergeCell ref="A4:D4"/>
    <mergeCell ref="A1:H2"/>
  </mergeCells>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F7C59-D14E-4FD3-8C15-0E8770B2EFB5}">
  <sheetPr>
    <tabColor theme="1" tint="0.499984740745262"/>
  </sheetPr>
  <dimension ref="A1:H8"/>
  <sheetViews>
    <sheetView zoomScaleNormal="100" workbookViewId="0">
      <selection activeCell="G11" sqref="G11"/>
    </sheetView>
  </sheetViews>
  <sheetFormatPr defaultRowHeight="15" x14ac:dyDescent="0.25"/>
  <cols>
    <col min="1" max="4" width="13.7109375" customWidth="1"/>
    <col min="5" max="8" width="11.5703125" customWidth="1"/>
  </cols>
  <sheetData>
    <row r="1" spans="1:8" ht="13.5" customHeight="1" x14ac:dyDescent="0.25">
      <c r="A1" s="262" t="s">
        <v>142</v>
      </c>
      <c r="B1" s="263"/>
      <c r="C1" s="263"/>
      <c r="D1" s="263"/>
      <c r="E1" s="263"/>
      <c r="F1" s="263"/>
      <c r="G1" s="263"/>
      <c r="H1" s="264"/>
    </row>
    <row r="2" spans="1:8" ht="13.5" customHeight="1" x14ac:dyDescent="0.25">
      <c r="A2" s="265"/>
      <c r="B2" s="266"/>
      <c r="C2" s="266"/>
      <c r="D2" s="266"/>
      <c r="E2" s="266"/>
      <c r="F2" s="266"/>
      <c r="G2" s="266"/>
      <c r="H2" s="267"/>
    </row>
    <row r="3" spans="1:8" ht="13.5" customHeight="1" x14ac:dyDescent="0.25">
      <c r="A3" s="265"/>
      <c r="B3" s="266"/>
      <c r="C3" s="266"/>
      <c r="D3" s="266"/>
      <c r="E3" s="266"/>
      <c r="F3" s="266"/>
      <c r="G3" s="266"/>
      <c r="H3" s="267"/>
    </row>
    <row r="4" spans="1:8" ht="13.5" customHeight="1" x14ac:dyDescent="0.25">
      <c r="A4" s="268"/>
      <c r="B4" s="269"/>
      <c r="C4" s="269"/>
      <c r="D4" s="269"/>
      <c r="E4" s="269"/>
      <c r="F4" s="269"/>
      <c r="G4" s="269"/>
      <c r="H4" s="270"/>
    </row>
    <row r="6" spans="1:8" ht="23.25" x14ac:dyDescent="0.35">
      <c r="A6" s="256" t="s">
        <v>119</v>
      </c>
      <c r="B6" s="257"/>
      <c r="C6" s="257"/>
      <c r="D6" s="258"/>
      <c r="E6" s="82"/>
    </row>
    <row r="7" spans="1:8" x14ac:dyDescent="0.25">
      <c r="A7" s="25" t="s">
        <v>117</v>
      </c>
      <c r="B7" s="96" t="s">
        <v>103</v>
      </c>
      <c r="C7" s="96" t="s">
        <v>44</v>
      </c>
      <c r="D7" s="24" t="s">
        <v>20</v>
      </c>
    </row>
    <row r="8" spans="1:8" x14ac:dyDescent="0.25">
      <c r="A8" s="22" t="s">
        <v>129</v>
      </c>
      <c r="B8" s="97"/>
      <c r="C8" s="97"/>
      <c r="D8" s="143">
        <f>Table30[[#This Row],[Build]]-Table30[[#This Row],[No Build]]</f>
        <v>0</v>
      </c>
    </row>
  </sheetData>
  <mergeCells count="2">
    <mergeCell ref="A6:D6"/>
    <mergeCell ref="A1:H4"/>
  </mergeCells>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9DFFD-9C1C-4D47-B9D5-BFF44D54ABEA}">
  <sheetPr>
    <tabColor theme="1" tint="0.499984740745262"/>
  </sheetPr>
  <dimension ref="A1:M30"/>
  <sheetViews>
    <sheetView zoomScaleNormal="100" workbookViewId="0">
      <selection activeCell="J8" sqref="J8"/>
    </sheetView>
  </sheetViews>
  <sheetFormatPr defaultRowHeight="15" x14ac:dyDescent="0.25"/>
  <cols>
    <col min="10" max="10" width="22.28515625" bestFit="1" customWidth="1"/>
    <col min="11" max="11" width="24" bestFit="1" customWidth="1"/>
    <col min="12" max="12" width="20.85546875" bestFit="1" customWidth="1"/>
    <col min="13" max="13" width="21.5703125" customWidth="1"/>
  </cols>
  <sheetData>
    <row r="1" spans="1:13" ht="17.100000000000001" customHeight="1" x14ac:dyDescent="0.25">
      <c r="A1" s="250" t="s">
        <v>143</v>
      </c>
      <c r="B1" s="251"/>
      <c r="C1" s="251"/>
      <c r="D1" s="251"/>
      <c r="E1" s="251"/>
      <c r="F1" s="251"/>
      <c r="G1" s="251"/>
      <c r="H1" s="252"/>
      <c r="J1" s="19" t="s">
        <v>131</v>
      </c>
      <c r="K1" s="79" t="s">
        <v>14</v>
      </c>
      <c r="L1" s="79" t="s">
        <v>15</v>
      </c>
      <c r="M1" s="79" t="s">
        <v>114</v>
      </c>
    </row>
    <row r="2" spans="1:13" x14ac:dyDescent="0.25">
      <c r="A2" s="253"/>
      <c r="B2" s="254"/>
      <c r="C2" s="254"/>
      <c r="D2" s="254"/>
      <c r="E2" s="254"/>
      <c r="F2" s="254"/>
      <c r="G2" s="254"/>
      <c r="H2" s="255"/>
      <c r="J2" s="11" t="s">
        <v>107</v>
      </c>
      <c r="K2" s="80">
        <v>0</v>
      </c>
      <c r="L2" s="80">
        <v>0</v>
      </c>
      <c r="M2" s="81">
        <f>Table8[[#This Row],[Build Volume/ Year]]-Table8[[#This Row],[No Build Volume/ Year]]</f>
        <v>0</v>
      </c>
    </row>
    <row r="3" spans="1:13" x14ac:dyDescent="0.25">
      <c r="A3" s="253"/>
      <c r="B3" s="254"/>
      <c r="C3" s="254"/>
      <c r="D3" s="254"/>
      <c r="E3" s="254"/>
      <c r="F3" s="254"/>
      <c r="G3" s="254"/>
      <c r="H3" s="255"/>
      <c r="J3" s="22" t="s">
        <v>108</v>
      </c>
      <c r="K3" s="80">
        <v>0</v>
      </c>
      <c r="L3" s="80">
        <v>0</v>
      </c>
      <c r="M3" s="81">
        <f>Table8[[#This Row],[Build Volume/ Year]]-Table8[[#This Row],[No Build Volume/ Year]]</f>
        <v>0</v>
      </c>
    </row>
    <row r="4" spans="1:13" x14ac:dyDescent="0.25">
      <c r="A4" s="152"/>
      <c r="B4" s="153"/>
      <c r="C4" s="153"/>
      <c r="D4" s="153"/>
      <c r="E4" s="153"/>
      <c r="F4" s="153"/>
      <c r="G4" s="153"/>
      <c r="H4" s="154"/>
      <c r="J4" s="22" t="s">
        <v>12</v>
      </c>
      <c r="K4" s="146">
        <f>SUBTOTAL(109,Table8[No Build Volume/ Year])</f>
        <v>0</v>
      </c>
      <c r="L4" s="146">
        <f>SUBTOTAL(109,Table8[Build Volume/ Year])</f>
        <v>0</v>
      </c>
      <c r="M4" s="147">
        <f>SUBTOTAL(109,Table8[Difference])</f>
        <v>0</v>
      </c>
    </row>
    <row r="5" spans="1:13" x14ac:dyDescent="0.25">
      <c r="A5" s="126"/>
      <c r="B5" s="155"/>
      <c r="C5" s="155"/>
      <c r="D5" s="155"/>
      <c r="E5" s="155"/>
      <c r="F5" s="155"/>
      <c r="G5" s="155"/>
      <c r="H5" s="125"/>
    </row>
    <row r="6" spans="1:13" x14ac:dyDescent="0.25">
      <c r="A6" s="126"/>
      <c r="B6" s="155"/>
      <c r="C6" s="155"/>
      <c r="D6" s="155"/>
      <c r="E6" s="155"/>
      <c r="F6" s="155"/>
      <c r="G6" s="155"/>
      <c r="H6" s="125"/>
    </row>
    <row r="7" spans="1:13" x14ac:dyDescent="0.25">
      <c r="A7" s="126"/>
      <c r="B7" s="155"/>
      <c r="C7" s="155"/>
      <c r="D7" s="155"/>
      <c r="E7" s="155"/>
      <c r="F7" s="155"/>
      <c r="G7" s="155"/>
      <c r="H7" s="125"/>
    </row>
    <row r="8" spans="1:13" x14ac:dyDescent="0.25">
      <c r="A8" s="126"/>
      <c r="B8" s="155"/>
      <c r="C8" s="155"/>
      <c r="D8" s="155"/>
      <c r="E8" s="155"/>
      <c r="F8" s="155"/>
      <c r="G8" s="155"/>
      <c r="H8" s="125"/>
    </row>
    <row r="9" spans="1:13" x14ac:dyDescent="0.25">
      <c r="A9" s="126"/>
      <c r="B9" s="155"/>
      <c r="C9" s="155"/>
      <c r="D9" s="155"/>
      <c r="E9" s="155"/>
      <c r="F9" s="155"/>
      <c r="G9" s="155"/>
      <c r="H9" s="125"/>
    </row>
    <row r="10" spans="1:13" x14ac:dyDescent="0.25">
      <c r="A10" s="126"/>
      <c r="B10" s="155"/>
      <c r="C10" s="155"/>
      <c r="D10" s="155"/>
      <c r="E10" s="155"/>
      <c r="F10" s="155"/>
      <c r="G10" s="155"/>
      <c r="H10" s="125"/>
    </row>
    <row r="11" spans="1:13" x14ac:dyDescent="0.25">
      <c r="A11" s="126"/>
      <c r="B11" s="155"/>
      <c r="C11" s="155"/>
      <c r="D11" s="155"/>
      <c r="E11" s="155"/>
      <c r="F11" s="155"/>
      <c r="G11" s="155"/>
      <c r="H11" s="125"/>
    </row>
    <row r="12" spans="1:13" x14ac:dyDescent="0.25">
      <c r="A12" s="126"/>
      <c r="B12" s="155"/>
      <c r="C12" s="155"/>
      <c r="D12" s="155"/>
      <c r="E12" s="155"/>
      <c r="F12" s="155"/>
      <c r="G12" s="155"/>
      <c r="H12" s="125"/>
    </row>
    <row r="13" spans="1:13" x14ac:dyDescent="0.25">
      <c r="A13" s="126"/>
      <c r="B13" s="155"/>
      <c r="C13" s="155"/>
      <c r="D13" s="155"/>
      <c r="E13" s="155"/>
      <c r="F13" s="155"/>
      <c r="G13" s="155"/>
      <c r="H13" s="125"/>
    </row>
    <row r="14" spans="1:13" x14ac:dyDescent="0.25">
      <c r="A14" s="126"/>
      <c r="B14" s="155"/>
      <c r="C14" s="155"/>
      <c r="D14" s="155"/>
      <c r="E14" s="155"/>
      <c r="F14" s="155"/>
      <c r="G14" s="155"/>
      <c r="H14" s="125"/>
    </row>
    <row r="15" spans="1:13" x14ac:dyDescent="0.25">
      <c r="A15" s="126"/>
      <c r="B15" s="155"/>
      <c r="C15" s="155"/>
      <c r="D15" s="155"/>
      <c r="E15" s="155"/>
      <c r="F15" s="155"/>
      <c r="G15" s="155"/>
      <c r="H15" s="125"/>
    </row>
    <row r="16" spans="1:13" x14ac:dyDescent="0.25">
      <c r="A16" s="126"/>
      <c r="B16" s="155"/>
      <c r="C16" s="155"/>
      <c r="D16" s="155"/>
      <c r="E16" s="155"/>
      <c r="F16" s="155"/>
      <c r="G16" s="155"/>
      <c r="H16" s="125"/>
    </row>
    <row r="17" spans="1:8" x14ac:dyDescent="0.25">
      <c r="A17" s="126"/>
      <c r="B17" s="155"/>
      <c r="C17" s="155"/>
      <c r="D17" s="155"/>
      <c r="E17" s="155"/>
      <c r="F17" s="155"/>
      <c r="G17" s="155"/>
      <c r="H17" s="125"/>
    </row>
    <row r="18" spans="1:8" x14ac:dyDescent="0.25">
      <c r="A18" s="126"/>
      <c r="B18" s="155"/>
      <c r="C18" s="155"/>
      <c r="D18" s="155"/>
      <c r="E18" s="155"/>
      <c r="F18" s="155"/>
      <c r="G18" s="155"/>
      <c r="H18" s="125"/>
    </row>
    <row r="19" spans="1:8" x14ac:dyDescent="0.25">
      <c r="A19" s="126"/>
      <c r="B19" s="155"/>
      <c r="C19" s="155"/>
      <c r="D19" s="155"/>
      <c r="E19" s="155"/>
      <c r="F19" s="155"/>
      <c r="G19" s="155"/>
      <c r="H19" s="125"/>
    </row>
    <row r="20" spans="1:8" x14ac:dyDescent="0.25">
      <c r="A20" s="126"/>
      <c r="B20" s="155"/>
      <c r="C20" s="155"/>
      <c r="D20" s="155"/>
      <c r="E20" s="155"/>
      <c r="F20" s="155"/>
      <c r="G20" s="155"/>
      <c r="H20" s="125"/>
    </row>
    <row r="21" spans="1:8" x14ac:dyDescent="0.25">
      <c r="A21" s="126"/>
      <c r="B21" s="155"/>
      <c r="C21" s="155"/>
      <c r="D21" s="155"/>
      <c r="E21" s="155"/>
      <c r="F21" s="155"/>
      <c r="G21" s="155"/>
      <c r="H21" s="125"/>
    </row>
    <row r="22" spans="1:8" x14ac:dyDescent="0.25">
      <c r="A22" s="126"/>
      <c r="B22" s="155"/>
      <c r="C22" s="155"/>
      <c r="D22" s="155"/>
      <c r="E22" s="155"/>
      <c r="F22" s="155"/>
      <c r="G22" s="155"/>
      <c r="H22" s="125"/>
    </row>
    <row r="23" spans="1:8" x14ac:dyDescent="0.25">
      <c r="A23" s="126"/>
      <c r="B23" s="155"/>
      <c r="C23" s="155"/>
      <c r="D23" s="155"/>
      <c r="E23" s="155"/>
      <c r="F23" s="155"/>
      <c r="G23" s="155"/>
      <c r="H23" s="125"/>
    </row>
    <row r="24" spans="1:8" x14ac:dyDescent="0.25">
      <c r="A24" s="126"/>
      <c r="B24" s="155"/>
      <c r="C24" s="155"/>
      <c r="D24" s="155"/>
      <c r="E24" s="155"/>
      <c r="F24" s="155"/>
      <c r="G24" s="155"/>
      <c r="H24" s="125"/>
    </row>
    <row r="25" spans="1:8" x14ac:dyDescent="0.25">
      <c r="A25" s="126"/>
      <c r="B25" s="155"/>
      <c r="C25" s="155"/>
      <c r="D25" s="155"/>
      <c r="E25" s="155"/>
      <c r="F25" s="155"/>
      <c r="G25" s="155"/>
      <c r="H25" s="125"/>
    </row>
    <row r="26" spans="1:8" x14ac:dyDescent="0.25">
      <c r="A26" s="126"/>
      <c r="B26" s="155"/>
      <c r="C26" s="155"/>
      <c r="D26" s="155"/>
      <c r="E26" s="155"/>
      <c r="F26" s="155"/>
      <c r="G26" s="155"/>
      <c r="H26" s="125"/>
    </row>
    <row r="27" spans="1:8" x14ac:dyDescent="0.25">
      <c r="A27" s="126"/>
      <c r="B27" s="155"/>
      <c r="C27" s="155"/>
      <c r="D27" s="155"/>
      <c r="E27" s="155"/>
      <c r="F27" s="155"/>
      <c r="G27" s="155"/>
      <c r="H27" s="125"/>
    </row>
    <row r="28" spans="1:8" x14ac:dyDescent="0.25">
      <c r="A28" s="126"/>
      <c r="B28" s="155"/>
      <c r="C28" s="155"/>
      <c r="D28" s="155"/>
      <c r="E28" s="155"/>
      <c r="F28" s="155"/>
      <c r="G28" s="155"/>
      <c r="H28" s="125"/>
    </row>
    <row r="29" spans="1:8" x14ac:dyDescent="0.25">
      <c r="A29" s="126"/>
      <c r="B29" s="155"/>
      <c r="C29" s="155"/>
      <c r="D29" s="155"/>
      <c r="E29" s="155"/>
      <c r="F29" s="155"/>
      <c r="G29" s="155"/>
      <c r="H29" s="125"/>
    </row>
    <row r="30" spans="1:8" x14ac:dyDescent="0.25">
      <c r="A30" s="127"/>
      <c r="B30" s="156"/>
      <c r="C30" s="156"/>
      <c r="D30" s="156"/>
      <c r="E30" s="156"/>
      <c r="F30" s="156"/>
      <c r="G30" s="156"/>
      <c r="H30" s="128"/>
    </row>
  </sheetData>
  <mergeCells count="1">
    <mergeCell ref="A1:H3"/>
  </mergeCells>
  <pageMargins left="0.7" right="0.7" top="0.75" bottom="0.75" header="0.3" footer="0.3"/>
  <drawing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B01E8-C407-4ECB-BBD6-7071B1ECC581}">
  <sheetPr>
    <tabColor theme="1" tint="0.499984740745262"/>
  </sheetPr>
  <dimension ref="A1:R49"/>
  <sheetViews>
    <sheetView zoomScaleNormal="100" workbookViewId="0">
      <selection activeCell="N8" sqref="N8"/>
    </sheetView>
  </sheetViews>
  <sheetFormatPr defaultRowHeight="15" x14ac:dyDescent="0.25"/>
  <cols>
    <col min="1" max="8" width="8" customWidth="1"/>
    <col min="10" max="10" width="25.7109375" style="1" customWidth="1"/>
    <col min="11" max="11" width="25.7109375" customWidth="1"/>
    <col min="12" max="12" width="17.5703125" customWidth="1"/>
    <col min="13" max="13" width="13.5703125" bestFit="1" customWidth="1"/>
    <col min="14" max="14" width="14" customWidth="1"/>
    <col min="15" max="15" width="21.85546875" bestFit="1" customWidth="1"/>
    <col min="16" max="16" width="22.42578125" customWidth="1"/>
    <col min="17" max="17" width="16.5703125" bestFit="1" customWidth="1"/>
    <col min="18" max="18" width="15.42578125" bestFit="1" customWidth="1"/>
  </cols>
  <sheetData>
    <row r="1" spans="1:18" ht="24.6" customHeight="1" x14ac:dyDescent="0.25">
      <c r="A1" s="262" t="s">
        <v>149</v>
      </c>
      <c r="B1" s="276"/>
      <c r="C1" s="276"/>
      <c r="D1" s="276"/>
      <c r="E1" s="276"/>
      <c r="F1" s="276"/>
      <c r="G1" s="276"/>
      <c r="H1" s="277"/>
      <c r="J1" s="274" t="s">
        <v>99</v>
      </c>
      <c r="K1" s="275"/>
      <c r="O1" s="271" t="s">
        <v>97</v>
      </c>
      <c r="P1" s="272"/>
      <c r="Q1" s="272"/>
      <c r="R1" s="273"/>
    </row>
    <row r="2" spans="1:18" ht="24.6" customHeight="1" x14ac:dyDescent="0.25">
      <c r="A2" s="278"/>
      <c r="B2" s="279"/>
      <c r="C2" s="279"/>
      <c r="D2" s="279"/>
      <c r="E2" s="279"/>
      <c r="F2" s="279"/>
      <c r="G2" s="279"/>
      <c r="H2" s="280"/>
      <c r="J2" s="19" t="s">
        <v>96</v>
      </c>
      <c r="K2" s="21" t="s">
        <v>98</v>
      </c>
      <c r="O2" s="42" t="s">
        <v>86</v>
      </c>
      <c r="P2" s="29" t="s">
        <v>41</v>
      </c>
      <c r="Q2" s="29" t="s">
        <v>42</v>
      </c>
      <c r="R2" s="30" t="s">
        <v>20</v>
      </c>
    </row>
    <row r="3" spans="1:18" ht="24.6" customHeight="1" x14ac:dyDescent="0.25">
      <c r="A3" s="278"/>
      <c r="B3" s="279"/>
      <c r="C3" s="279"/>
      <c r="D3" s="279"/>
      <c r="E3" s="279"/>
      <c r="F3" s="279"/>
      <c r="G3" s="279"/>
      <c r="H3" s="280"/>
      <c r="J3" s="58" t="s">
        <v>38</v>
      </c>
      <c r="K3" s="93"/>
      <c r="O3" s="46" t="s">
        <v>84</v>
      </c>
      <c r="P3" s="129" t="e">
        <f>(K12/K49)*100000000</f>
        <v>#DIV/0!</v>
      </c>
      <c r="Q3" s="130">
        <f>(L12/L49)*100000000</f>
        <v>0</v>
      </c>
      <c r="R3" s="131" t="e">
        <f>Q3-P3</f>
        <v>#DIV/0!</v>
      </c>
    </row>
    <row r="4" spans="1:18" ht="24.6" customHeight="1" x14ac:dyDescent="0.25">
      <c r="A4" s="278"/>
      <c r="B4" s="279"/>
      <c r="C4" s="279"/>
      <c r="D4" s="279"/>
      <c r="E4" s="279"/>
      <c r="F4" s="279"/>
      <c r="G4" s="279"/>
      <c r="H4" s="280"/>
      <c r="J4" s="60" t="s">
        <v>39</v>
      </c>
      <c r="K4" s="94"/>
      <c r="O4" s="49" t="s">
        <v>85</v>
      </c>
      <c r="P4" s="132" t="e">
        <f>(K13/K49)*100000000</f>
        <v>#DIV/0!</v>
      </c>
      <c r="Q4" s="132">
        <f>(L13/L49)*100000000</f>
        <v>0</v>
      </c>
      <c r="R4" s="133" t="e">
        <f>Q4-P4</f>
        <v>#DIV/0!</v>
      </c>
    </row>
    <row r="5" spans="1:18" ht="33" customHeight="1" x14ac:dyDescent="0.25">
      <c r="A5" s="278"/>
      <c r="B5" s="279"/>
      <c r="C5" s="279"/>
      <c r="D5" s="279"/>
      <c r="E5" s="279"/>
      <c r="F5" s="279"/>
      <c r="G5" s="279"/>
      <c r="H5" s="280"/>
      <c r="J5" s="43"/>
      <c r="K5" s="15"/>
    </row>
    <row r="6" spans="1:18" ht="35.1" customHeight="1" x14ac:dyDescent="0.3">
      <c r="A6" s="284" t="s">
        <v>148</v>
      </c>
      <c r="B6" s="285"/>
      <c r="C6" s="285"/>
      <c r="D6" s="285"/>
      <c r="E6" s="285"/>
      <c r="F6" s="285"/>
      <c r="G6" s="285"/>
      <c r="H6" s="286"/>
      <c r="J6" s="271" t="s">
        <v>100</v>
      </c>
      <c r="K6" s="272"/>
      <c r="L6" s="273"/>
    </row>
    <row r="7" spans="1:18" ht="23.45" customHeight="1" x14ac:dyDescent="0.25">
      <c r="A7" s="126"/>
      <c r="B7" s="155"/>
      <c r="C7" s="155"/>
      <c r="D7" s="155"/>
      <c r="E7" s="155"/>
      <c r="F7" s="155"/>
      <c r="G7" s="155"/>
      <c r="H7" s="125"/>
      <c r="J7" s="19" t="s">
        <v>96</v>
      </c>
      <c r="K7" s="20" t="s">
        <v>103</v>
      </c>
      <c r="L7" s="24" t="s">
        <v>44</v>
      </c>
    </row>
    <row r="8" spans="1:18" ht="23.45" customHeight="1" x14ac:dyDescent="0.25">
      <c r="A8" s="126"/>
      <c r="B8" s="155"/>
      <c r="C8" s="155"/>
      <c r="D8" s="155"/>
      <c r="E8" s="155"/>
      <c r="F8" s="155"/>
      <c r="G8" s="155"/>
      <c r="H8" s="125"/>
      <c r="J8" s="58" t="s">
        <v>101</v>
      </c>
      <c r="K8" s="98"/>
      <c r="L8" s="99"/>
      <c r="N8" s="76"/>
    </row>
    <row r="9" spans="1:18" ht="23.45" customHeight="1" x14ac:dyDescent="0.25">
      <c r="A9" s="126"/>
      <c r="B9" s="155"/>
      <c r="C9" s="155"/>
      <c r="D9" s="155"/>
      <c r="E9" s="155"/>
      <c r="F9" s="155"/>
      <c r="G9" s="155"/>
      <c r="H9" s="125"/>
      <c r="J9" s="60" t="s">
        <v>102</v>
      </c>
      <c r="K9" s="100"/>
      <c r="L9" s="101"/>
    </row>
    <row r="10" spans="1:18" ht="23.45" customHeight="1" x14ac:dyDescent="0.25">
      <c r="A10" s="126"/>
      <c r="B10" s="155"/>
      <c r="C10" s="155"/>
      <c r="D10" s="155"/>
      <c r="E10" s="155"/>
      <c r="F10" s="155"/>
      <c r="G10" s="155"/>
      <c r="H10" s="125"/>
      <c r="J10" s="15"/>
      <c r="K10" s="15"/>
    </row>
    <row r="11" spans="1:18" ht="23.45" customHeight="1" x14ac:dyDescent="0.25">
      <c r="A11" s="281" t="s">
        <v>144</v>
      </c>
      <c r="B11" s="282"/>
      <c r="C11" s="282"/>
      <c r="D11" s="282"/>
      <c r="E11" s="282"/>
      <c r="F11" s="282"/>
      <c r="G11" s="282"/>
      <c r="H11" s="283"/>
      <c r="J11" s="28" t="s">
        <v>96</v>
      </c>
      <c r="K11" s="29" t="s">
        <v>41</v>
      </c>
      <c r="L11" s="29" t="s">
        <v>42</v>
      </c>
      <c r="M11" s="30" t="s">
        <v>20</v>
      </c>
    </row>
    <row r="12" spans="1:18" ht="23.45" customHeight="1" x14ac:dyDescent="0.25">
      <c r="A12" s="281"/>
      <c r="B12" s="282"/>
      <c r="C12" s="282"/>
      <c r="D12" s="282"/>
      <c r="E12" s="282"/>
      <c r="F12" s="282"/>
      <c r="G12" s="282"/>
      <c r="H12" s="283"/>
      <c r="J12" s="46" t="s">
        <v>38</v>
      </c>
      <c r="K12" s="47">
        <f>K3*365</f>
        <v>0</v>
      </c>
      <c r="L12" s="47">
        <f>K12*(1-(K8-L8))</f>
        <v>0</v>
      </c>
      <c r="M12" s="48">
        <f>L12-K12</f>
        <v>0</v>
      </c>
    </row>
    <row r="13" spans="1:18" ht="23.45" customHeight="1" x14ac:dyDescent="0.25">
      <c r="A13" s="157"/>
      <c r="B13" s="158"/>
      <c r="C13" s="158"/>
      <c r="D13" s="158"/>
      <c r="E13" s="158"/>
      <c r="F13" s="158"/>
      <c r="G13" s="158"/>
      <c r="H13" s="159"/>
      <c r="J13" s="49" t="s">
        <v>39</v>
      </c>
      <c r="K13" s="50">
        <f>K4*365</f>
        <v>0</v>
      </c>
      <c r="L13" s="47">
        <f>K13*(1-(K9-L9))</f>
        <v>0</v>
      </c>
      <c r="M13" s="51">
        <f>L13-K13</f>
        <v>0</v>
      </c>
    </row>
    <row r="14" spans="1:18" ht="23.45" customHeight="1" x14ac:dyDescent="0.25">
      <c r="A14" s="126"/>
      <c r="B14" s="155"/>
      <c r="C14" s="155"/>
      <c r="D14" s="155"/>
      <c r="E14" s="155"/>
      <c r="F14" s="155"/>
      <c r="G14" s="155"/>
      <c r="H14" s="125"/>
    </row>
    <row r="15" spans="1:18" ht="23.45" customHeight="1" x14ac:dyDescent="0.25">
      <c r="A15" s="126"/>
      <c r="B15" s="155"/>
      <c r="C15" s="155"/>
      <c r="D15" s="155"/>
      <c r="E15" s="155"/>
      <c r="F15" s="155"/>
      <c r="G15" s="155"/>
      <c r="H15" s="125"/>
      <c r="J15" s="274" t="s">
        <v>1</v>
      </c>
      <c r="K15" s="287"/>
      <c r="L15" s="275"/>
      <c r="M15" s="14"/>
      <c r="N15" s="14"/>
      <c r="O15" s="14"/>
    </row>
    <row r="16" spans="1:18" s="1" customFormat="1" ht="23.45" customHeight="1" x14ac:dyDescent="0.25">
      <c r="A16" s="281" t="s">
        <v>144</v>
      </c>
      <c r="B16" s="282"/>
      <c r="C16" s="282"/>
      <c r="D16" s="282"/>
      <c r="E16" s="282"/>
      <c r="F16" s="282"/>
      <c r="G16" s="282"/>
      <c r="H16" s="283"/>
      <c r="J16" s="19" t="s">
        <v>120</v>
      </c>
      <c r="K16" s="20" t="s">
        <v>82</v>
      </c>
      <c r="L16" s="21" t="s">
        <v>83</v>
      </c>
    </row>
    <row r="17" spans="1:12" ht="23.45" customHeight="1" x14ac:dyDescent="0.25">
      <c r="A17" s="281"/>
      <c r="B17" s="282"/>
      <c r="C17" s="282"/>
      <c r="D17" s="282"/>
      <c r="E17" s="282"/>
      <c r="F17" s="282"/>
      <c r="G17" s="282"/>
      <c r="H17" s="283"/>
      <c r="J17" s="58" t="str">
        <f>DVHD!D10</f>
        <v>Peak HOV</v>
      </c>
      <c r="K17" s="91"/>
      <c r="L17" s="93"/>
    </row>
    <row r="18" spans="1:12" ht="23.45" customHeight="1" x14ac:dyDescent="0.25">
      <c r="A18" s="126"/>
      <c r="B18" s="155"/>
      <c r="C18" s="155"/>
      <c r="D18" s="155"/>
      <c r="E18" s="155"/>
      <c r="F18" s="155"/>
      <c r="G18" s="155"/>
      <c r="H18" s="125"/>
      <c r="J18" s="58" t="str">
        <f>DVHD!D11</f>
        <v>Peak Non HOV Vehicles</v>
      </c>
      <c r="K18" s="80"/>
      <c r="L18" s="102"/>
    </row>
    <row r="19" spans="1:12" ht="23.45" customHeight="1" x14ac:dyDescent="0.25">
      <c r="A19" s="126"/>
      <c r="B19" s="155"/>
      <c r="C19" s="155"/>
      <c r="D19" s="155"/>
      <c r="E19" s="155"/>
      <c r="F19" s="155"/>
      <c r="G19" s="155"/>
      <c r="H19" s="125"/>
      <c r="J19" s="58" t="str">
        <f>DVHD!D12</f>
        <v>Peak Weaving</v>
      </c>
      <c r="K19" s="80"/>
      <c r="L19" s="102"/>
    </row>
    <row r="20" spans="1:12" ht="23.45" customHeight="1" x14ac:dyDescent="0.25">
      <c r="A20" s="126"/>
      <c r="B20" s="155"/>
      <c r="C20" s="155"/>
      <c r="D20" s="155"/>
      <c r="E20" s="155"/>
      <c r="F20" s="155"/>
      <c r="G20" s="155"/>
      <c r="H20" s="125"/>
      <c r="J20" s="58" t="str">
        <f>DVHD!D13</f>
        <v>Peak Truck</v>
      </c>
      <c r="K20" s="80"/>
      <c r="L20" s="102"/>
    </row>
    <row r="21" spans="1:12" s="74" customFormat="1" ht="23.45" customHeight="1" x14ac:dyDescent="0.25">
      <c r="A21" s="126"/>
      <c r="B21" s="155"/>
      <c r="C21" s="155"/>
      <c r="D21" s="155"/>
      <c r="E21" s="155"/>
      <c r="F21" s="155"/>
      <c r="G21" s="155"/>
      <c r="H21" s="125"/>
      <c r="J21" s="58" t="str">
        <f>DVHD!D14</f>
        <v>Peak Ramp</v>
      </c>
      <c r="K21" s="80"/>
      <c r="L21" s="102"/>
    </row>
    <row r="22" spans="1:12" s="74" customFormat="1" ht="23.45" customHeight="1" x14ac:dyDescent="0.25">
      <c r="A22" s="126"/>
      <c r="B22" s="155"/>
      <c r="C22" s="155"/>
      <c r="D22" s="155"/>
      <c r="E22" s="155"/>
      <c r="F22" s="155"/>
      <c r="G22" s="155"/>
      <c r="H22" s="125"/>
      <c r="J22" s="58" t="str">
        <f>DVHD!D15</f>
        <v>Peak Arterial</v>
      </c>
      <c r="K22" s="80"/>
      <c r="L22" s="102"/>
    </row>
    <row r="23" spans="1:12" s="74" customFormat="1" ht="23.45" customHeight="1" x14ac:dyDescent="0.25">
      <c r="A23" s="126"/>
      <c r="B23" s="155"/>
      <c r="C23" s="155"/>
      <c r="D23" s="155"/>
      <c r="E23" s="155"/>
      <c r="F23" s="155"/>
      <c r="G23" s="155"/>
      <c r="H23" s="125"/>
      <c r="J23" s="58" t="str">
        <f>DVHD!D16</f>
        <v>Non-Peak Non HOV</v>
      </c>
      <c r="K23" s="80"/>
      <c r="L23" s="102"/>
    </row>
    <row r="24" spans="1:12" s="74" customFormat="1" ht="23.45" customHeight="1" x14ac:dyDescent="0.25">
      <c r="A24" s="126"/>
      <c r="B24" s="155"/>
      <c r="C24" s="155"/>
      <c r="D24" s="155"/>
      <c r="E24" s="155"/>
      <c r="F24" s="155"/>
      <c r="G24" s="155"/>
      <c r="H24" s="125"/>
      <c r="J24" s="58" t="str">
        <f>DVHD!D17</f>
        <v>Non-Peak Truck</v>
      </c>
      <c r="K24" s="92"/>
      <c r="L24" s="103"/>
    </row>
    <row r="25" spans="1:12" ht="23.45" customHeight="1" x14ac:dyDescent="0.25">
      <c r="A25" s="126"/>
      <c r="B25" s="155"/>
      <c r="C25" s="155"/>
      <c r="D25" s="155"/>
      <c r="E25" s="155"/>
      <c r="F25" s="155"/>
      <c r="G25" s="155"/>
      <c r="H25" s="125"/>
      <c r="J25" s="107"/>
      <c r="K25" s="112"/>
      <c r="L25" s="112"/>
    </row>
    <row r="26" spans="1:12" ht="23.45" customHeight="1" x14ac:dyDescent="0.25">
      <c r="A26" s="126"/>
      <c r="B26" s="155"/>
      <c r="C26" s="155"/>
      <c r="D26" s="155"/>
      <c r="E26" s="155"/>
      <c r="F26" s="155"/>
      <c r="G26" s="155"/>
      <c r="H26" s="125"/>
    </row>
    <row r="27" spans="1:12" ht="23.45" customHeight="1" x14ac:dyDescent="0.25">
      <c r="A27" s="126"/>
      <c r="B27" s="155"/>
      <c r="C27" s="155"/>
      <c r="D27" s="155"/>
      <c r="E27" s="155"/>
      <c r="F27" s="155"/>
      <c r="G27" s="155"/>
      <c r="H27" s="125"/>
      <c r="J27" s="271" t="s">
        <v>5</v>
      </c>
      <c r="K27" s="272"/>
      <c r="L27" s="273"/>
    </row>
    <row r="28" spans="1:12" ht="23.45" customHeight="1" x14ac:dyDescent="0.25">
      <c r="A28" s="126"/>
      <c r="B28" s="155"/>
      <c r="C28" s="155"/>
      <c r="D28" s="155"/>
      <c r="E28" s="155"/>
      <c r="F28" s="155"/>
      <c r="G28" s="155"/>
      <c r="H28" s="125"/>
      <c r="J28" s="19" t="s">
        <v>120</v>
      </c>
      <c r="K28" s="20" t="s">
        <v>82</v>
      </c>
      <c r="L28" s="21" t="s">
        <v>83</v>
      </c>
    </row>
    <row r="29" spans="1:12" ht="23.45" customHeight="1" x14ac:dyDescent="0.25">
      <c r="A29" s="126"/>
      <c r="B29" s="155"/>
      <c r="C29" s="155"/>
      <c r="D29" s="155"/>
      <c r="E29" s="155"/>
      <c r="F29" s="155"/>
      <c r="G29" s="155"/>
      <c r="H29" s="125"/>
      <c r="J29" s="58" t="str">
        <f>DVHD!D23</f>
        <v>Peak HOV</v>
      </c>
      <c r="K29" s="32"/>
      <c r="L29" s="32"/>
    </row>
    <row r="30" spans="1:12" ht="23.45" customHeight="1" x14ac:dyDescent="0.25">
      <c r="A30" s="126"/>
      <c r="B30" s="155"/>
      <c r="C30" s="155"/>
      <c r="D30" s="155"/>
      <c r="E30" s="155"/>
      <c r="F30" s="155"/>
      <c r="G30" s="155"/>
      <c r="H30" s="125"/>
      <c r="J30" s="58" t="str">
        <f>DVHD!D24</f>
        <v>Peak Non HOV Vehicles</v>
      </c>
      <c r="K30" s="31">
        <v>0</v>
      </c>
      <c r="L30" s="31">
        <v>0</v>
      </c>
    </row>
    <row r="31" spans="1:12" ht="23.45" customHeight="1" x14ac:dyDescent="0.25">
      <c r="A31" s="126"/>
      <c r="B31" s="155"/>
      <c r="C31" s="155"/>
      <c r="D31" s="155"/>
      <c r="E31" s="155"/>
      <c r="F31" s="155"/>
      <c r="G31" s="155"/>
      <c r="H31" s="125"/>
      <c r="J31" s="58" t="str">
        <f>DVHD!D25</f>
        <v>Peak Weaving</v>
      </c>
      <c r="K31" s="31"/>
      <c r="L31" s="31"/>
    </row>
    <row r="32" spans="1:12" ht="23.45" customHeight="1" x14ac:dyDescent="0.25">
      <c r="A32" s="126"/>
      <c r="B32" s="155"/>
      <c r="C32" s="155"/>
      <c r="D32" s="155"/>
      <c r="E32" s="155"/>
      <c r="F32" s="155"/>
      <c r="G32" s="155"/>
      <c r="H32" s="125"/>
      <c r="J32" s="58" t="str">
        <f>DVHD!D26</f>
        <v>Peak Truck</v>
      </c>
      <c r="K32" s="31">
        <v>0</v>
      </c>
      <c r="L32" s="31">
        <v>16591142.181899996</v>
      </c>
    </row>
    <row r="33" spans="1:12" ht="23.45" customHeight="1" x14ac:dyDescent="0.25">
      <c r="A33" s="151"/>
      <c r="B33" s="151"/>
      <c r="C33" s="151"/>
      <c r="D33" s="151"/>
      <c r="E33" s="151"/>
      <c r="F33" s="151"/>
      <c r="G33" s="151"/>
      <c r="H33" s="151"/>
      <c r="J33" s="58" t="str">
        <f>DVHD!D27</f>
        <v>Peak Ramp</v>
      </c>
      <c r="K33" s="31"/>
      <c r="L33" s="31"/>
    </row>
    <row r="34" spans="1:12" ht="23.45" customHeight="1" x14ac:dyDescent="0.25">
      <c r="A34" s="107"/>
      <c r="B34" s="107"/>
      <c r="C34" s="107"/>
      <c r="D34" s="107"/>
      <c r="E34" s="107"/>
      <c r="F34" s="107"/>
      <c r="G34" s="107"/>
      <c r="H34" s="107"/>
      <c r="J34" s="58" t="str">
        <f>DVHD!D28</f>
        <v>Peak Arterial</v>
      </c>
      <c r="K34" s="31"/>
      <c r="L34" s="31"/>
    </row>
    <row r="35" spans="1:12" ht="23.45" customHeight="1" x14ac:dyDescent="0.25">
      <c r="A35" s="107"/>
      <c r="B35" s="107"/>
      <c r="C35" s="107"/>
      <c r="D35" s="107"/>
      <c r="E35" s="107"/>
      <c r="F35" s="107"/>
      <c r="G35" s="107"/>
      <c r="H35" s="107"/>
      <c r="J35" s="58" t="str">
        <f>DVHD!D29</f>
        <v>Non-Peak Non HOV</v>
      </c>
      <c r="K35" s="31">
        <v>0</v>
      </c>
      <c r="L35" s="31">
        <v>0</v>
      </c>
    </row>
    <row r="36" spans="1:12" ht="23.45" customHeight="1" x14ac:dyDescent="0.25">
      <c r="A36" s="107"/>
      <c r="B36" s="107"/>
      <c r="C36" s="107"/>
      <c r="D36" s="107"/>
      <c r="E36" s="107"/>
      <c r="F36" s="107"/>
      <c r="G36" s="107"/>
      <c r="H36" s="107"/>
      <c r="J36" s="58" t="str">
        <f>DVHD!D30</f>
        <v>Non-Peak Truck</v>
      </c>
      <c r="K36" s="31">
        <v>0</v>
      </c>
      <c r="L36" s="31">
        <v>24577945.118099995</v>
      </c>
    </row>
    <row r="37" spans="1:12" ht="23.45" customHeight="1" x14ac:dyDescent="0.25">
      <c r="A37" s="107"/>
      <c r="B37" s="107"/>
      <c r="C37" s="107"/>
      <c r="D37" s="107"/>
      <c r="E37" s="107"/>
      <c r="F37" s="107"/>
      <c r="G37" s="107"/>
      <c r="H37" s="107"/>
    </row>
    <row r="39" spans="1:12" x14ac:dyDescent="0.25">
      <c r="J39" s="271" t="s">
        <v>11</v>
      </c>
      <c r="K39" s="272"/>
      <c r="L39" s="273"/>
    </row>
    <row r="40" spans="1:12" x14ac:dyDescent="0.25">
      <c r="J40" s="19" t="s">
        <v>120</v>
      </c>
      <c r="K40" s="20" t="s">
        <v>82</v>
      </c>
      <c r="L40" s="21" t="s">
        <v>83</v>
      </c>
    </row>
    <row r="41" spans="1:12" x14ac:dyDescent="0.25">
      <c r="J41" s="58" t="str">
        <f>DVHD!D36</f>
        <v>Peak HOV</v>
      </c>
      <c r="K41" s="3">
        <f>SUM(K17,K29)</f>
        <v>0</v>
      </c>
      <c r="L41" s="3">
        <f>SUM(L17,L29)</f>
        <v>0</v>
      </c>
    </row>
    <row r="42" spans="1:12" x14ac:dyDescent="0.25">
      <c r="J42" s="58" t="str">
        <f>DVHD!D37</f>
        <v>Peak Non HOV Vehicles</v>
      </c>
      <c r="K42" s="3">
        <f t="shared" ref="K42:L48" si="0">SUM(K18,K30)</f>
        <v>0</v>
      </c>
      <c r="L42" s="3">
        <f t="shared" si="0"/>
        <v>0</v>
      </c>
    </row>
    <row r="43" spans="1:12" x14ac:dyDescent="0.25">
      <c r="J43" s="58" t="str">
        <f>DVHD!D38</f>
        <v>Peak Weaving</v>
      </c>
      <c r="K43" s="3">
        <f t="shared" si="0"/>
        <v>0</v>
      </c>
      <c r="L43" s="3">
        <f t="shared" si="0"/>
        <v>0</v>
      </c>
    </row>
    <row r="44" spans="1:12" x14ac:dyDescent="0.25">
      <c r="J44" s="58" t="str">
        <f>DVHD!D39</f>
        <v>Peak Truck</v>
      </c>
      <c r="K44" s="3">
        <f t="shared" si="0"/>
        <v>0</v>
      </c>
      <c r="L44" s="3">
        <f t="shared" si="0"/>
        <v>16591142.181899996</v>
      </c>
    </row>
    <row r="45" spans="1:12" x14ac:dyDescent="0.25">
      <c r="J45" s="58" t="str">
        <f>DVHD!D40</f>
        <v>Peak Ramp</v>
      </c>
      <c r="K45" s="3">
        <f t="shared" si="0"/>
        <v>0</v>
      </c>
      <c r="L45" s="3">
        <f t="shared" si="0"/>
        <v>0</v>
      </c>
    </row>
    <row r="46" spans="1:12" x14ac:dyDescent="0.25">
      <c r="J46" s="58" t="str">
        <f>DVHD!D41</f>
        <v>Peak Arterial</v>
      </c>
      <c r="K46" s="3">
        <f t="shared" si="0"/>
        <v>0</v>
      </c>
      <c r="L46" s="3">
        <f t="shared" si="0"/>
        <v>0</v>
      </c>
    </row>
    <row r="47" spans="1:12" x14ac:dyDescent="0.25">
      <c r="J47" s="58" t="str">
        <f>DVHD!D42</f>
        <v>Non-Peak Non HOV</v>
      </c>
      <c r="K47" s="3">
        <f t="shared" si="0"/>
        <v>0</v>
      </c>
      <c r="L47" s="3">
        <f t="shared" si="0"/>
        <v>0</v>
      </c>
    </row>
    <row r="48" spans="1:12" x14ac:dyDescent="0.25">
      <c r="J48" s="58" t="str">
        <f>DVHD!D43</f>
        <v>Non-Peak Truck</v>
      </c>
      <c r="K48" s="3">
        <f t="shared" si="0"/>
        <v>0</v>
      </c>
      <c r="L48" s="3">
        <f t="shared" si="0"/>
        <v>24577945.118099995</v>
      </c>
    </row>
    <row r="49" spans="10:12" x14ac:dyDescent="0.25">
      <c r="J49" s="22" t="s">
        <v>12</v>
      </c>
      <c r="K49" s="37">
        <f>SUBTOTAL(109,Table13[No Build VMT/ Year])</f>
        <v>0</v>
      </c>
      <c r="L49" s="52">
        <f>SUBTOTAL(109,Table13[Build VMT/ Year])</f>
        <v>41169087.29999999</v>
      </c>
    </row>
  </sheetData>
  <mergeCells count="10">
    <mergeCell ref="A1:H5"/>
    <mergeCell ref="A11:H12"/>
    <mergeCell ref="A6:H6"/>
    <mergeCell ref="A16:H17"/>
    <mergeCell ref="J15:L15"/>
    <mergeCell ref="J27:L27"/>
    <mergeCell ref="J39:L39"/>
    <mergeCell ref="O1:R1"/>
    <mergeCell ref="J1:K1"/>
    <mergeCell ref="J6:L6"/>
  </mergeCells>
  <pageMargins left="0.7" right="0.7" top="0.75" bottom="0.75" header="0.3" footer="0.3"/>
  <pageSetup orientation="portrait" verticalDpi="0" r:id="rId1"/>
  <drawing r:id="rId2"/>
  <tableParts count="7">
    <tablePart r:id="rId3"/>
    <tablePart r:id="rId4"/>
    <tablePart r:id="rId5"/>
    <tablePart r:id="rId6"/>
    <tablePart r:id="rId7"/>
    <tablePart r:id="rId8"/>
    <tablePart r:id="rId9"/>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BEF41-4464-408B-BE22-246FE27E9915}">
  <sheetPr>
    <tabColor theme="1" tint="0.499984740745262"/>
  </sheetPr>
  <dimension ref="A1:K15"/>
  <sheetViews>
    <sheetView zoomScaleNormal="100" workbookViewId="0">
      <selection activeCell="J15" sqref="J15"/>
    </sheetView>
  </sheetViews>
  <sheetFormatPr defaultRowHeight="15" x14ac:dyDescent="0.25"/>
  <cols>
    <col min="9" max="9" width="5.5703125" customWidth="1"/>
    <col min="10" max="10" width="25.140625" bestFit="1" customWidth="1"/>
    <col min="11" max="11" width="26" customWidth="1"/>
    <col min="12" max="12" width="15.140625" bestFit="1" customWidth="1"/>
    <col min="13" max="13" width="18" bestFit="1" customWidth="1"/>
    <col min="14" max="14" width="15.140625" bestFit="1" customWidth="1"/>
    <col min="15" max="15" width="12.85546875" bestFit="1" customWidth="1"/>
    <col min="16" max="16" width="12" bestFit="1" customWidth="1"/>
  </cols>
  <sheetData>
    <row r="1" spans="1:11" x14ac:dyDescent="0.25">
      <c r="A1" s="262" t="s">
        <v>145</v>
      </c>
      <c r="B1" s="276"/>
      <c r="C1" s="276"/>
      <c r="D1" s="276"/>
      <c r="E1" s="276"/>
      <c r="F1" s="276"/>
      <c r="G1" s="276"/>
      <c r="H1" s="277"/>
      <c r="J1" s="56" t="s">
        <v>28</v>
      </c>
      <c r="K1" s="57" t="s">
        <v>104</v>
      </c>
    </row>
    <row r="2" spans="1:11" x14ac:dyDescent="0.25">
      <c r="A2" s="278"/>
      <c r="B2" s="279"/>
      <c r="C2" s="279"/>
      <c r="D2" s="279"/>
      <c r="E2" s="279"/>
      <c r="F2" s="279"/>
      <c r="G2" s="279"/>
      <c r="H2" s="280"/>
      <c r="J2" s="54" t="s">
        <v>29</v>
      </c>
      <c r="K2" s="31"/>
    </row>
    <row r="3" spans="1:11" x14ac:dyDescent="0.25">
      <c r="A3" s="278"/>
      <c r="B3" s="279"/>
      <c r="C3" s="279"/>
      <c r="D3" s="279"/>
      <c r="E3" s="279"/>
      <c r="F3" s="279"/>
      <c r="G3" s="279"/>
      <c r="H3" s="280"/>
      <c r="J3" s="54" t="s">
        <v>30</v>
      </c>
      <c r="K3" s="31"/>
    </row>
    <row r="4" spans="1:11" x14ac:dyDescent="0.25">
      <c r="A4" s="278"/>
      <c r="B4" s="279"/>
      <c r="C4" s="279"/>
      <c r="D4" s="279"/>
      <c r="E4" s="279"/>
      <c r="F4" s="279"/>
      <c r="G4" s="279"/>
      <c r="H4" s="280"/>
      <c r="J4" s="54" t="s">
        <v>31</v>
      </c>
      <c r="K4" s="31"/>
    </row>
    <row r="5" spans="1:11" x14ac:dyDescent="0.25">
      <c r="A5" s="126"/>
      <c r="B5" s="155"/>
      <c r="C5" s="155"/>
      <c r="D5" s="155"/>
      <c r="E5" s="155"/>
      <c r="F5" s="155"/>
      <c r="G5" s="155"/>
      <c r="H5" s="125"/>
      <c r="J5" s="54" t="s">
        <v>32</v>
      </c>
      <c r="K5" s="31"/>
    </row>
    <row r="6" spans="1:11" x14ac:dyDescent="0.25">
      <c r="A6" s="126"/>
      <c r="B6" s="155"/>
      <c r="C6" s="155"/>
      <c r="D6" s="155"/>
      <c r="E6" s="155"/>
      <c r="F6" s="155"/>
      <c r="G6" s="155"/>
      <c r="H6" s="125"/>
      <c r="J6" s="54" t="s">
        <v>33</v>
      </c>
      <c r="K6" s="31"/>
    </row>
    <row r="7" spans="1:11" x14ac:dyDescent="0.25">
      <c r="A7" s="126"/>
      <c r="B7" s="155"/>
      <c r="C7" s="155"/>
      <c r="D7" s="155"/>
      <c r="E7" s="155"/>
      <c r="F7" s="155"/>
      <c r="G7" s="155"/>
      <c r="H7" s="125"/>
      <c r="J7" s="54" t="s">
        <v>34</v>
      </c>
      <c r="K7" s="31"/>
    </row>
    <row r="8" spans="1:11" x14ac:dyDescent="0.25">
      <c r="A8" s="126"/>
      <c r="B8" s="155"/>
      <c r="C8" s="155"/>
      <c r="D8" s="155"/>
      <c r="E8" s="155"/>
      <c r="F8" s="155"/>
      <c r="G8" s="155"/>
      <c r="H8" s="125"/>
      <c r="J8" s="55" t="s">
        <v>35</v>
      </c>
      <c r="K8" s="31"/>
    </row>
    <row r="9" spans="1:11" x14ac:dyDescent="0.25">
      <c r="A9" s="126"/>
      <c r="B9" s="155"/>
      <c r="C9" s="155"/>
      <c r="D9" s="155"/>
      <c r="E9" s="155"/>
      <c r="F9" s="155"/>
      <c r="G9" s="155"/>
      <c r="H9" s="125"/>
    </row>
    <row r="10" spans="1:11" x14ac:dyDescent="0.25">
      <c r="A10" s="126"/>
      <c r="B10" s="155"/>
      <c r="C10" s="155"/>
      <c r="D10" s="155"/>
      <c r="E10" s="155"/>
      <c r="F10" s="155"/>
      <c r="G10" s="155"/>
      <c r="H10" s="125"/>
    </row>
    <row r="11" spans="1:11" x14ac:dyDescent="0.25">
      <c r="A11" s="126"/>
      <c r="B11" s="155"/>
      <c r="C11" s="155"/>
      <c r="D11" s="155"/>
      <c r="E11" s="155"/>
      <c r="F11" s="155"/>
      <c r="G11" s="155"/>
      <c r="H11" s="125"/>
    </row>
    <row r="12" spans="1:11" x14ac:dyDescent="0.25">
      <c r="A12" s="126"/>
      <c r="B12" s="155"/>
      <c r="C12" s="155"/>
      <c r="D12" s="155"/>
      <c r="E12" s="155"/>
      <c r="F12" s="155"/>
      <c r="G12" s="155"/>
      <c r="H12" s="125"/>
    </row>
    <row r="13" spans="1:11" x14ac:dyDescent="0.25">
      <c r="A13" s="126"/>
      <c r="B13" s="155"/>
      <c r="C13" s="155"/>
      <c r="D13" s="155"/>
      <c r="E13" s="155"/>
      <c r="F13" s="155"/>
      <c r="G13" s="155"/>
      <c r="H13" s="125"/>
    </row>
    <row r="14" spans="1:11" x14ac:dyDescent="0.25">
      <c r="A14" s="126"/>
      <c r="B14" s="155"/>
      <c r="C14" s="155"/>
      <c r="D14" s="155"/>
      <c r="E14" s="155"/>
      <c r="F14" s="155"/>
      <c r="G14" s="155"/>
      <c r="H14" s="125"/>
    </row>
    <row r="15" spans="1:11" x14ac:dyDescent="0.25">
      <c r="A15" s="127"/>
      <c r="B15" s="156"/>
      <c r="C15" s="156"/>
      <c r="D15" s="156"/>
      <c r="E15" s="156"/>
      <c r="F15" s="156"/>
      <c r="G15" s="156"/>
      <c r="H15" s="128"/>
    </row>
  </sheetData>
  <mergeCells count="1">
    <mergeCell ref="A1:H4"/>
  </mergeCells>
  <pageMargins left="0.7" right="0.7" top="0.75" bottom="0.75" header="0.3" footer="0.3"/>
  <drawing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F4594-7CFD-443A-A2CB-61522A4E067C}">
  <sheetPr>
    <tabColor theme="1" tint="0.499984740745262"/>
  </sheetPr>
  <dimension ref="A1:L21"/>
  <sheetViews>
    <sheetView zoomScaleNormal="100" workbookViewId="0">
      <selection activeCell="N20" sqref="N20"/>
    </sheetView>
  </sheetViews>
  <sheetFormatPr defaultRowHeight="15" x14ac:dyDescent="0.25"/>
  <cols>
    <col min="1" max="8" width="8.5703125" customWidth="1"/>
    <col min="10" max="10" width="22.28515625" bestFit="1" customWidth="1"/>
    <col min="11" max="11" width="23.42578125" customWidth="1"/>
    <col min="12" max="12" width="20.42578125" customWidth="1"/>
  </cols>
  <sheetData>
    <row r="1" spans="1:12" ht="18.75" x14ac:dyDescent="0.3">
      <c r="A1" s="262" t="s">
        <v>146</v>
      </c>
      <c r="B1" s="276"/>
      <c r="C1" s="276"/>
      <c r="D1" s="276"/>
      <c r="E1" s="276"/>
      <c r="F1" s="276"/>
      <c r="G1" s="276"/>
      <c r="H1" s="277"/>
      <c r="J1" s="288" t="s">
        <v>37</v>
      </c>
      <c r="K1" s="289"/>
      <c r="L1" s="290"/>
    </row>
    <row r="2" spans="1:12" ht="17.100000000000001" customHeight="1" x14ac:dyDescent="0.25">
      <c r="A2" s="278"/>
      <c r="B2" s="279"/>
      <c r="C2" s="279"/>
      <c r="D2" s="279"/>
      <c r="E2" s="279"/>
      <c r="F2" s="279"/>
      <c r="G2" s="279"/>
      <c r="H2" s="280"/>
      <c r="J2" s="44" t="s">
        <v>106</v>
      </c>
      <c r="K2" s="45" t="s">
        <v>14</v>
      </c>
      <c r="L2" s="61" t="s">
        <v>15</v>
      </c>
    </row>
    <row r="3" spans="1:12" x14ac:dyDescent="0.25">
      <c r="A3" s="126"/>
      <c r="B3" s="155"/>
      <c r="C3" s="155"/>
      <c r="D3" s="155"/>
      <c r="E3" s="155"/>
      <c r="F3" s="155"/>
      <c r="G3" s="155"/>
      <c r="H3" s="125"/>
      <c r="J3" s="62" t="s">
        <v>109</v>
      </c>
      <c r="K3" s="31"/>
      <c r="L3" s="31"/>
    </row>
    <row r="4" spans="1:12" x14ac:dyDescent="0.25">
      <c r="A4" s="126"/>
      <c r="B4" s="155"/>
      <c r="C4" s="155"/>
      <c r="D4" s="155"/>
      <c r="E4" s="155"/>
      <c r="F4" s="155"/>
      <c r="G4" s="155"/>
      <c r="H4" s="125"/>
    </row>
    <row r="5" spans="1:12" ht="18.75" x14ac:dyDescent="0.3">
      <c r="A5" s="126"/>
      <c r="B5" s="155"/>
      <c r="C5" s="155"/>
      <c r="D5" s="155"/>
      <c r="E5" s="155"/>
      <c r="F5" s="155"/>
      <c r="G5" s="155"/>
      <c r="H5" s="125"/>
      <c r="J5" s="247" t="s">
        <v>36</v>
      </c>
      <c r="K5" s="247"/>
      <c r="L5" s="247"/>
    </row>
    <row r="6" spans="1:12" x14ac:dyDescent="0.25">
      <c r="A6" s="126"/>
      <c r="B6" s="155"/>
      <c r="C6" s="155"/>
      <c r="D6" s="155"/>
      <c r="E6" s="155"/>
      <c r="F6" s="155"/>
      <c r="G6" s="155"/>
      <c r="H6" s="125"/>
      <c r="J6" s="19" t="s">
        <v>105</v>
      </c>
      <c r="K6" s="20" t="s">
        <v>14</v>
      </c>
      <c r="L6" s="21" t="s">
        <v>15</v>
      </c>
    </row>
    <row r="7" spans="1:12" x14ac:dyDescent="0.25">
      <c r="A7" s="126"/>
      <c r="B7" s="155"/>
      <c r="C7" s="155"/>
      <c r="D7" s="155"/>
      <c r="E7" s="155"/>
      <c r="F7" s="155"/>
      <c r="G7" s="155"/>
      <c r="H7" s="125"/>
      <c r="J7" s="58" t="s">
        <v>132</v>
      </c>
      <c r="K7" s="3">
        <f>DVHD!E36</f>
        <v>0</v>
      </c>
      <c r="L7" s="3">
        <f>DVHD!F36</f>
        <v>0</v>
      </c>
    </row>
    <row r="8" spans="1:12" x14ac:dyDescent="0.25">
      <c r="A8" s="126"/>
      <c r="B8" s="155"/>
      <c r="C8" s="155"/>
      <c r="D8" s="155"/>
      <c r="E8" s="155"/>
      <c r="F8" s="155"/>
      <c r="G8" s="155"/>
      <c r="H8" s="125"/>
      <c r="J8" s="58" t="s">
        <v>0</v>
      </c>
      <c r="K8" s="3">
        <f>DVHD!E37</f>
        <v>0</v>
      </c>
      <c r="L8" s="3">
        <f>DVHD!F37</f>
        <v>0</v>
      </c>
    </row>
    <row r="9" spans="1:12" x14ac:dyDescent="0.25">
      <c r="A9" s="126"/>
      <c r="B9" s="155"/>
      <c r="C9" s="155"/>
      <c r="D9" s="155"/>
      <c r="E9" s="155"/>
      <c r="F9" s="155"/>
      <c r="G9" s="155"/>
      <c r="H9" s="125"/>
      <c r="J9" s="58" t="s">
        <v>133</v>
      </c>
      <c r="K9" s="3">
        <f>DVHD!E38</f>
        <v>0</v>
      </c>
      <c r="L9" s="3">
        <f>DVHD!F38</f>
        <v>0</v>
      </c>
    </row>
    <row r="10" spans="1:12" x14ac:dyDescent="0.25">
      <c r="A10" s="126"/>
      <c r="B10" s="155"/>
      <c r="C10" s="155"/>
      <c r="D10" s="155"/>
      <c r="E10" s="155"/>
      <c r="F10" s="155"/>
      <c r="G10" s="155"/>
      <c r="H10" s="125"/>
      <c r="J10" s="58" t="s">
        <v>2</v>
      </c>
      <c r="K10" s="3">
        <f>DVHD!E39</f>
        <v>0</v>
      </c>
      <c r="L10" s="3">
        <f>DVHD!F39</f>
        <v>0</v>
      </c>
    </row>
    <row r="11" spans="1:12" x14ac:dyDescent="0.25">
      <c r="A11" s="126"/>
      <c r="B11" s="155"/>
      <c r="C11" s="155"/>
      <c r="D11" s="155"/>
      <c r="E11" s="155"/>
      <c r="F11" s="155"/>
      <c r="G11" s="155"/>
      <c r="H11" s="125"/>
      <c r="J11" s="58" t="s">
        <v>134</v>
      </c>
      <c r="K11" s="3">
        <f>DVHD!E40</f>
        <v>0</v>
      </c>
      <c r="L11" s="3">
        <f>DVHD!F40</f>
        <v>0</v>
      </c>
    </row>
    <row r="12" spans="1:12" x14ac:dyDescent="0.25">
      <c r="A12" s="126"/>
      <c r="B12" s="155"/>
      <c r="C12" s="155"/>
      <c r="D12" s="155"/>
      <c r="E12" s="155"/>
      <c r="F12" s="155"/>
      <c r="G12" s="155"/>
      <c r="H12" s="125"/>
      <c r="J12" s="58" t="s">
        <v>135</v>
      </c>
      <c r="K12" s="3">
        <f>DVHD!E41</f>
        <v>0</v>
      </c>
      <c r="L12" s="3">
        <f>DVHD!F41</f>
        <v>0</v>
      </c>
    </row>
    <row r="13" spans="1:12" x14ac:dyDescent="0.25">
      <c r="A13" s="126"/>
      <c r="B13" s="155"/>
      <c r="C13" s="155"/>
      <c r="D13" s="155"/>
      <c r="E13" s="155"/>
      <c r="F13" s="155"/>
      <c r="G13" s="155"/>
      <c r="H13" s="125"/>
      <c r="J13" s="58" t="s">
        <v>3</v>
      </c>
      <c r="K13" s="3">
        <f>DVHD!E42</f>
        <v>0</v>
      </c>
      <c r="L13" s="3">
        <f>DVHD!F42</f>
        <v>0</v>
      </c>
    </row>
    <row r="14" spans="1:12" x14ac:dyDescent="0.25">
      <c r="A14" s="126"/>
      <c r="B14" s="155"/>
      <c r="C14" s="155"/>
      <c r="D14" s="155"/>
      <c r="E14" s="155"/>
      <c r="F14" s="155"/>
      <c r="G14" s="155"/>
      <c r="H14" s="125"/>
      <c r="J14" s="58" t="s">
        <v>4</v>
      </c>
      <c r="K14" s="3">
        <f>DVHD!E43</f>
        <v>0</v>
      </c>
      <c r="L14" s="3">
        <f>DVHD!F43</f>
        <v>0</v>
      </c>
    </row>
    <row r="15" spans="1:12" x14ac:dyDescent="0.25">
      <c r="A15" s="126"/>
      <c r="B15" s="155"/>
      <c r="C15" s="155"/>
      <c r="D15" s="155"/>
      <c r="E15" s="155"/>
      <c r="F15" s="155"/>
      <c r="G15" s="155"/>
      <c r="H15" s="125"/>
      <c r="J15" s="60" t="s">
        <v>12</v>
      </c>
      <c r="K15" s="144">
        <f>SUBTOTAL(109,Table19[No Build Volume/ Year])</f>
        <v>0</v>
      </c>
      <c r="L15" s="150">
        <f>SUBTOTAL(109,Table19[Build Volume/ Year])</f>
        <v>0</v>
      </c>
    </row>
    <row r="16" spans="1:12" x14ac:dyDescent="0.25">
      <c r="A16" s="126"/>
      <c r="B16" s="155"/>
      <c r="C16" s="155"/>
      <c r="D16" s="155"/>
      <c r="E16" s="155"/>
      <c r="F16" s="155"/>
      <c r="G16" s="155"/>
      <c r="H16" s="125"/>
    </row>
    <row r="17" spans="1:8" x14ac:dyDescent="0.25">
      <c r="A17" s="126"/>
      <c r="B17" s="155"/>
      <c r="C17" s="155"/>
      <c r="D17" s="155"/>
      <c r="E17" s="155"/>
      <c r="F17" s="155"/>
      <c r="G17" s="155"/>
      <c r="H17" s="125"/>
    </row>
    <row r="18" spans="1:8" x14ac:dyDescent="0.25">
      <c r="A18" s="126"/>
      <c r="B18" s="155"/>
      <c r="C18" s="155"/>
      <c r="D18" s="155"/>
      <c r="E18" s="155"/>
      <c r="F18" s="155"/>
      <c r="G18" s="155"/>
      <c r="H18" s="125"/>
    </row>
    <row r="19" spans="1:8" x14ac:dyDescent="0.25">
      <c r="A19" s="126"/>
      <c r="B19" s="155"/>
      <c r="C19" s="155"/>
      <c r="D19" s="155"/>
      <c r="E19" s="155"/>
      <c r="F19" s="155"/>
      <c r="G19" s="155"/>
      <c r="H19" s="125"/>
    </row>
    <row r="20" spans="1:8" x14ac:dyDescent="0.25">
      <c r="A20" s="126"/>
      <c r="B20" s="155"/>
      <c r="C20" s="155"/>
      <c r="D20" s="155"/>
      <c r="E20" s="155"/>
      <c r="F20" s="155"/>
      <c r="G20" s="155"/>
      <c r="H20" s="125"/>
    </row>
    <row r="21" spans="1:8" x14ac:dyDescent="0.25">
      <c r="A21" s="127"/>
      <c r="B21" s="156"/>
      <c r="C21" s="156"/>
      <c r="D21" s="156"/>
      <c r="E21" s="156"/>
      <c r="F21" s="156"/>
      <c r="G21" s="156"/>
      <c r="H21" s="128"/>
    </row>
  </sheetData>
  <mergeCells count="3">
    <mergeCell ref="J5:L5"/>
    <mergeCell ref="J1:L1"/>
    <mergeCell ref="A1:H2"/>
  </mergeCells>
  <pageMargins left="0.7" right="0.7" top="0.75" bottom="0.75" header="0.3" footer="0.3"/>
  <drawing r:id="rId1"/>
  <tableParts count="2">
    <tablePart r:id="rId2"/>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4EBDF-099D-4FF5-A377-18731EFF034B}">
  <dimension ref="A1:J44"/>
  <sheetViews>
    <sheetView zoomScaleNormal="100" workbookViewId="0">
      <selection activeCell="C6" sqref="C6"/>
    </sheetView>
  </sheetViews>
  <sheetFormatPr defaultRowHeight="15" x14ac:dyDescent="0.25"/>
  <cols>
    <col min="1" max="1" width="31.85546875" bestFit="1" customWidth="1"/>
    <col min="2" max="2" width="23.42578125" customWidth="1"/>
    <col min="3" max="3" width="20.42578125" customWidth="1"/>
    <col min="4" max="4" width="22.7109375" bestFit="1" customWidth="1"/>
    <col min="5" max="5" width="19.5703125" customWidth="1"/>
    <col min="6" max="6" width="24.28515625" customWidth="1"/>
    <col min="7" max="8" width="22.5703125" customWidth="1"/>
    <col min="9" max="9" width="16.5703125" bestFit="1" customWidth="1"/>
    <col min="10" max="10" width="13.42578125" bestFit="1" customWidth="1"/>
    <col min="11" max="11" width="22.28515625" bestFit="1" customWidth="1"/>
    <col min="12" max="13" width="14.28515625" bestFit="1" customWidth="1"/>
    <col min="14" max="14" width="19.5703125" bestFit="1" customWidth="1"/>
    <col min="15" max="15" width="19.5703125" customWidth="1"/>
    <col min="16" max="16" width="22.5703125" bestFit="1" customWidth="1"/>
    <col min="17" max="17" width="14.28515625" bestFit="1" customWidth="1"/>
    <col min="18" max="18" width="11.140625" bestFit="1" customWidth="1"/>
  </cols>
  <sheetData>
    <row r="1" spans="1:10" ht="23.25" x14ac:dyDescent="0.35">
      <c r="A1" s="248" t="s">
        <v>110</v>
      </c>
      <c r="B1" s="249"/>
    </row>
    <row r="3" spans="1:10" x14ac:dyDescent="0.25">
      <c r="A3" s="25" t="s">
        <v>89</v>
      </c>
      <c r="B3" s="24" t="s">
        <v>90</v>
      </c>
    </row>
    <row r="4" spans="1:10" x14ac:dyDescent="0.25">
      <c r="A4" s="11" t="s">
        <v>91</v>
      </c>
      <c r="B4" s="75">
        <f>Table6[[#This Row],[Data]]</f>
        <v>0</v>
      </c>
    </row>
    <row r="5" spans="1:10" x14ac:dyDescent="0.25">
      <c r="A5" s="11" t="s">
        <v>92</v>
      </c>
      <c r="B5" s="75">
        <f>Table6[[#This Row],[Data]]</f>
        <v>0</v>
      </c>
    </row>
    <row r="6" spans="1:10" x14ac:dyDescent="0.25">
      <c r="A6" s="22" t="s">
        <v>93</v>
      </c>
      <c r="B6" s="75">
        <f>Table6[[#This Row],[Data]]</f>
        <v>0</v>
      </c>
    </row>
    <row r="8" spans="1:10" s="1" customFormat="1" ht="18.75" x14ac:dyDescent="0.3">
      <c r="A8" s="288" t="s">
        <v>1</v>
      </c>
      <c r="B8" s="289"/>
      <c r="C8" s="289"/>
      <c r="D8" s="289"/>
      <c r="E8" s="289"/>
      <c r="F8" s="290"/>
      <c r="G8" s="70"/>
      <c r="H8" s="70"/>
      <c r="I8" s="70"/>
      <c r="J8" s="70"/>
    </row>
    <row r="9" spans="1:10" s="1" customFormat="1" x14ac:dyDescent="0.25">
      <c r="A9" s="19" t="s">
        <v>120</v>
      </c>
      <c r="B9" s="20" t="s">
        <v>14</v>
      </c>
      <c r="C9" s="20" t="s">
        <v>15</v>
      </c>
      <c r="D9" s="20" t="s">
        <v>111</v>
      </c>
      <c r="E9" s="20" t="s">
        <v>112</v>
      </c>
      <c r="F9" s="21" t="s">
        <v>20</v>
      </c>
    </row>
    <row r="10" spans="1:10" x14ac:dyDescent="0.25">
      <c r="A10" s="58" t="str">
        <f>Table1[[#This Row],[Period &amp; Vehicle Type]]</f>
        <v>Peak HOV</v>
      </c>
      <c r="B10" s="13">
        <f>Table1[[#This Row],[No Build Volume/ Year]]</f>
        <v>0</v>
      </c>
      <c r="C10" s="13">
        <f>Table1[[#This Row],[Build Volume/ Year]]</f>
        <v>0</v>
      </c>
      <c r="D10" s="4">
        <f>Table122[[#This Row],[No Build Volume/ Year]]*$B$4</f>
        <v>0</v>
      </c>
      <c r="E10" s="4">
        <f>Table122[[#This Row],[Build Volume/ Year]]*$B$4</f>
        <v>0</v>
      </c>
      <c r="F10" s="84">
        <f>Table122[[#This Row],[Build DVMT]]-Table122[[#This Row],[No Build DVMT]]</f>
        <v>0</v>
      </c>
    </row>
    <row r="11" spans="1:10" x14ac:dyDescent="0.25">
      <c r="A11" s="58" t="str">
        <f>Table1[[#This Row],[Period &amp; Vehicle Type]]</f>
        <v>Peak Non HOV Vehicles</v>
      </c>
      <c r="B11" s="13">
        <f>Table1[[#This Row],[No Build Volume/ Year]]</f>
        <v>0</v>
      </c>
      <c r="C11" s="13">
        <f>Table1[[#This Row],[Build Volume/ Year]]</f>
        <v>0</v>
      </c>
      <c r="D11" s="4">
        <f>Table122[[#This Row],[No Build Volume/ Year]]*$B$4</f>
        <v>0</v>
      </c>
      <c r="E11" s="4">
        <f>Table122[[#This Row],[Build Volume/ Year]]*$B$4</f>
        <v>0</v>
      </c>
      <c r="F11" s="84">
        <f>Table122[[#This Row],[Build DVMT]]-Table122[[#This Row],[No Build DVMT]]</f>
        <v>0</v>
      </c>
    </row>
    <row r="12" spans="1:10" x14ac:dyDescent="0.25">
      <c r="A12" s="58" t="str">
        <f>Table1[[#This Row],[Period &amp; Vehicle Type]]</f>
        <v>Peak Weaving</v>
      </c>
      <c r="B12" s="13">
        <f>Table1[[#This Row],[No Build Volume/ Year]]</f>
        <v>0</v>
      </c>
      <c r="C12" s="13">
        <f>Table1[[#This Row],[Build Volume/ Year]]</f>
        <v>0</v>
      </c>
      <c r="D12" s="4">
        <f>Table122[[#This Row],[No Build Volume/ Year]]*$B$4</f>
        <v>0</v>
      </c>
      <c r="E12" s="4">
        <f>Table122[[#This Row],[Build Volume/ Year]]*$B$4</f>
        <v>0</v>
      </c>
      <c r="F12" s="84">
        <f>Table122[[#This Row],[Build DVMT]]-Table122[[#This Row],[No Build DVMT]]</f>
        <v>0</v>
      </c>
    </row>
    <row r="13" spans="1:10" x14ac:dyDescent="0.25">
      <c r="A13" s="58" t="str">
        <f>Table1[[#This Row],[Period &amp; Vehicle Type]]</f>
        <v>Peak Truck</v>
      </c>
      <c r="B13" s="13">
        <f>Table1[[#This Row],[No Build Volume/ Year]]</f>
        <v>0</v>
      </c>
      <c r="C13" s="13">
        <f>Table1[[#This Row],[Build Volume/ Year]]</f>
        <v>0</v>
      </c>
      <c r="D13" s="4">
        <f>Table122[[#This Row],[No Build Volume/ Year]]*$B$4</f>
        <v>0</v>
      </c>
      <c r="E13" s="4">
        <f>Table122[[#This Row],[Build Volume/ Year]]*$B$4</f>
        <v>0</v>
      </c>
      <c r="F13" s="84">
        <f>Table122[[#This Row],[Build DVMT]]-Table122[[#This Row],[No Build DVMT]]</f>
        <v>0</v>
      </c>
    </row>
    <row r="14" spans="1:10" x14ac:dyDescent="0.25">
      <c r="A14" s="58" t="str">
        <f>Table1[[#This Row],[Period &amp; Vehicle Type]]</f>
        <v>Peak Ramp</v>
      </c>
      <c r="B14" s="13">
        <f>Table1[[#This Row],[No Build Volume/ Year]]</f>
        <v>0</v>
      </c>
      <c r="C14" s="13">
        <f>Table1[[#This Row],[Build Volume/ Year]]</f>
        <v>0</v>
      </c>
      <c r="D14" s="4">
        <f>Table122[[#This Row],[No Build Volume/ Year]]*$B$4</f>
        <v>0</v>
      </c>
      <c r="E14" s="4">
        <f>Table122[[#This Row],[Build Volume/ Year]]*$B$4</f>
        <v>0</v>
      </c>
      <c r="F14" s="84">
        <f>Table122[[#This Row],[Build DVMT]]-Table122[[#This Row],[No Build DVMT]]</f>
        <v>0</v>
      </c>
    </row>
    <row r="15" spans="1:10" x14ac:dyDescent="0.25">
      <c r="A15" s="58" t="str">
        <f>Table1[[#This Row],[Period &amp; Vehicle Type]]</f>
        <v>Peak Arterial</v>
      </c>
      <c r="B15" s="13">
        <f>Table1[[#This Row],[No Build Volume/ Year]]</f>
        <v>0</v>
      </c>
      <c r="C15" s="13">
        <f>Table1[[#This Row],[Build Volume/ Year]]</f>
        <v>0</v>
      </c>
      <c r="D15" s="4">
        <f>Table122[[#This Row],[No Build Volume/ Year]]*$B$4</f>
        <v>0</v>
      </c>
      <c r="E15" s="4">
        <f>Table122[[#This Row],[Build Volume/ Year]]*$B$4</f>
        <v>0</v>
      </c>
      <c r="F15" s="84">
        <f>Table122[[#This Row],[Build DVMT]]-Table122[[#This Row],[No Build DVMT]]</f>
        <v>0</v>
      </c>
    </row>
    <row r="16" spans="1:10" ht="18.75" x14ac:dyDescent="0.3">
      <c r="A16" s="58" t="str">
        <f>Table1[[#This Row],[Period &amp; Vehicle Type]]</f>
        <v>Non-Peak Non HOV</v>
      </c>
      <c r="B16" s="13">
        <f>Table1[[#This Row],[No Build Volume/ Year]]</f>
        <v>0</v>
      </c>
      <c r="C16" s="13">
        <f>Table1[[#This Row],[Build Volume/ Year]]</f>
        <v>0</v>
      </c>
      <c r="D16" s="4">
        <f>Table122[[#This Row],[No Build Volume/ Year]]*$B$4</f>
        <v>0</v>
      </c>
      <c r="E16" s="4">
        <f>Table122[[#This Row],[Build Volume/ Year]]*$B$4</f>
        <v>0</v>
      </c>
      <c r="F16" s="84">
        <f>Table122[[#This Row],[Build DVMT]]-Table122[[#This Row],[No Build DVMT]]</f>
        <v>0</v>
      </c>
      <c r="G16" s="70"/>
      <c r="H16" s="70"/>
      <c r="I16" s="70"/>
      <c r="J16" s="70"/>
    </row>
    <row r="17" spans="1:8" x14ac:dyDescent="0.25">
      <c r="A17" s="58" t="str">
        <f>Table1[[#This Row],[Period &amp; Vehicle Type]]</f>
        <v>Non-Peak Truck</v>
      </c>
      <c r="B17" s="85">
        <f>Table1[[#This Row],[No Build Volume/ Year]]</f>
        <v>0</v>
      </c>
      <c r="C17" s="85">
        <f>Table1[[#This Row],[Build Volume/ Year]]</f>
        <v>0</v>
      </c>
      <c r="D17" s="23">
        <f>Table122[[#This Row],[No Build Volume/ Year]]*$B$4</f>
        <v>0</v>
      </c>
      <c r="E17" s="23">
        <f>Table122[[#This Row],[Build Volume/ Year]]*$B$4</f>
        <v>0</v>
      </c>
      <c r="F17" s="86">
        <f>Table122[[#This Row],[Build DVMT]]-Table122[[#This Row],[No Build DVMT]]</f>
        <v>0</v>
      </c>
    </row>
    <row r="18" spans="1:8" x14ac:dyDescent="0.25">
      <c r="A18" s="22" t="s">
        <v>12</v>
      </c>
      <c r="B18" s="95">
        <f>SUBTOTAL(109,Table122[No Build Volume/ Year])</f>
        <v>0</v>
      </c>
      <c r="C18" s="95">
        <f>SUBTOTAL(109,Table122[Build Volume/ Year])</f>
        <v>0</v>
      </c>
      <c r="D18" s="89">
        <f>SUBTOTAL(109,Table122[No Build DVMT])</f>
        <v>0</v>
      </c>
      <c r="E18" s="89">
        <f>SUBTOTAL(109,Table122[Build DVMT])</f>
        <v>0</v>
      </c>
      <c r="F18" s="87">
        <f>SUBTOTAL(109,Table122[Change])</f>
        <v>0</v>
      </c>
    </row>
    <row r="21" spans="1:8" ht="18.75" x14ac:dyDescent="0.3">
      <c r="A21" s="288" t="s">
        <v>5</v>
      </c>
      <c r="B21" s="289"/>
      <c r="C21" s="289"/>
      <c r="D21" s="289"/>
      <c r="E21" s="289"/>
      <c r="F21" s="290"/>
    </row>
    <row r="22" spans="1:8" x14ac:dyDescent="0.25">
      <c r="A22" s="19" t="s">
        <v>120</v>
      </c>
      <c r="B22" s="20" t="s">
        <v>14</v>
      </c>
      <c r="C22" s="20" t="s">
        <v>15</v>
      </c>
      <c r="D22" s="20" t="s">
        <v>111</v>
      </c>
      <c r="E22" s="20" t="s">
        <v>112</v>
      </c>
      <c r="F22" s="21" t="s">
        <v>20</v>
      </c>
    </row>
    <row r="23" spans="1:8" x14ac:dyDescent="0.25">
      <c r="A23" s="58" t="str">
        <f>Table2[[#This Row],[Period &amp; Vehicle Type]]</f>
        <v>Peak HOV</v>
      </c>
      <c r="B23" s="13">
        <f>Table2[[#This Row],[No Build Volume/ Year]]</f>
        <v>0</v>
      </c>
      <c r="C23" s="13">
        <f>Table2[[#This Row],[Build Volume/ Year]]</f>
        <v>0</v>
      </c>
      <c r="D23" s="4">
        <f>Table12232[[#This Row],[No Build Volume/ Year]]*$B$4</f>
        <v>0</v>
      </c>
      <c r="E23" s="4">
        <f>Table12232[[#This Row],[Build Volume/ Year]]*$B$4</f>
        <v>0</v>
      </c>
      <c r="F23" s="84">
        <f>Table12232[[#This Row],[Build DVMT]]-Table12232[[#This Row],[No Build DVMT]]</f>
        <v>0</v>
      </c>
    </row>
    <row r="24" spans="1:8" ht="18.75" x14ac:dyDescent="0.3">
      <c r="A24" s="58" t="str">
        <f>Table2[[#This Row],[Period &amp; Vehicle Type]]</f>
        <v>Peak Non HOV Vehicles</v>
      </c>
      <c r="B24" s="13">
        <f>Table2[[#This Row],[No Build Volume/ Year]]</f>
        <v>0</v>
      </c>
      <c r="C24" s="13">
        <f>Table2[[#This Row],[Build Volume/ Year]]</f>
        <v>0</v>
      </c>
      <c r="D24" s="4">
        <f>Table12232[[#This Row],[No Build Volume/ Year]]*$B$4</f>
        <v>0</v>
      </c>
      <c r="E24" s="4">
        <f>Table12232[[#This Row],[Build Volume/ Year]]*$B$4</f>
        <v>0</v>
      </c>
      <c r="F24" s="84">
        <f>Table12232[[#This Row],[Build DVMT]]-Table12232[[#This Row],[No Build DVMT]]</f>
        <v>0</v>
      </c>
      <c r="G24" s="70"/>
      <c r="H24" s="70"/>
    </row>
    <row r="25" spans="1:8" x14ac:dyDescent="0.25">
      <c r="A25" s="58" t="str">
        <f>Table2[[#This Row],[Period &amp; Vehicle Type]]</f>
        <v>Peak Weaving</v>
      </c>
      <c r="B25" s="13">
        <f>Table2[[#This Row],[No Build Volume/ Year]]</f>
        <v>0</v>
      </c>
      <c r="C25" s="13">
        <f>Table2[[#This Row],[Build Volume/ Year]]</f>
        <v>0</v>
      </c>
      <c r="D25" s="4">
        <f>Table12232[[#This Row],[No Build Volume/ Year]]*$B$4</f>
        <v>0</v>
      </c>
      <c r="E25" s="4">
        <f>Table12232[[#This Row],[Build Volume/ Year]]*$B$4</f>
        <v>0</v>
      </c>
      <c r="F25" s="84">
        <f>Table12232[[#This Row],[Build DVMT]]-Table12232[[#This Row],[No Build DVMT]]</f>
        <v>0</v>
      </c>
    </row>
    <row r="26" spans="1:8" x14ac:dyDescent="0.25">
      <c r="A26" s="58" t="str">
        <f>Table2[[#This Row],[Period &amp; Vehicle Type]]</f>
        <v>Peak Truck</v>
      </c>
      <c r="B26" s="13">
        <f>Table2[[#This Row],[No Build Volume/ Year]]</f>
        <v>0</v>
      </c>
      <c r="C26" s="13">
        <f>Table2[[#This Row],[Build Volume/ Year]]</f>
        <v>0</v>
      </c>
      <c r="D26" s="4">
        <f>Table12232[[#This Row],[No Build Volume/ Year]]*$B$4</f>
        <v>0</v>
      </c>
      <c r="E26" s="4">
        <f>Table12232[[#This Row],[Build Volume/ Year]]*$B$4</f>
        <v>0</v>
      </c>
      <c r="F26" s="84">
        <f>Table12232[[#This Row],[Build DVMT]]-Table12232[[#This Row],[No Build DVMT]]</f>
        <v>0</v>
      </c>
    </row>
    <row r="27" spans="1:8" x14ac:dyDescent="0.25">
      <c r="A27" s="58" t="str">
        <f>Table2[[#This Row],[Period &amp; Vehicle Type]]</f>
        <v>Peak Ramp</v>
      </c>
      <c r="B27" s="13">
        <f>Table2[[#This Row],[No Build Volume/ Year]]</f>
        <v>0</v>
      </c>
      <c r="C27" s="13">
        <f>Table2[[#This Row],[Build Volume/ Year]]</f>
        <v>0</v>
      </c>
      <c r="D27" s="4">
        <f>Table12232[[#This Row],[No Build Volume/ Year]]*$B$4</f>
        <v>0</v>
      </c>
      <c r="E27" s="4">
        <f>Table12232[[#This Row],[Build Volume/ Year]]*$B$4</f>
        <v>0</v>
      </c>
      <c r="F27" s="84">
        <f>Table12232[[#This Row],[Build DVMT]]-Table12232[[#This Row],[No Build DVMT]]</f>
        <v>0</v>
      </c>
    </row>
    <row r="28" spans="1:8" x14ac:dyDescent="0.25">
      <c r="A28" s="58" t="str">
        <f>Table2[[#This Row],[Period &amp; Vehicle Type]]</f>
        <v>Peak Arterial</v>
      </c>
      <c r="B28" s="13">
        <f>Table2[[#This Row],[No Build Volume/ Year]]</f>
        <v>0</v>
      </c>
      <c r="C28" s="13">
        <f>Table2[[#This Row],[Build Volume/ Year]]</f>
        <v>0</v>
      </c>
      <c r="D28" s="4">
        <f>Table12232[[#This Row],[No Build Volume/ Year]]*$B$4</f>
        <v>0</v>
      </c>
      <c r="E28" s="4">
        <f>Table12232[[#This Row],[Build Volume/ Year]]*$B$4</f>
        <v>0</v>
      </c>
      <c r="F28" s="84">
        <f>Table12232[[#This Row],[Build DVMT]]-Table12232[[#This Row],[No Build DVMT]]</f>
        <v>0</v>
      </c>
    </row>
    <row r="29" spans="1:8" x14ac:dyDescent="0.25">
      <c r="A29" s="58" t="str">
        <f>Table2[[#This Row],[Period &amp; Vehicle Type]]</f>
        <v>Non-Peak Non HOV</v>
      </c>
      <c r="B29" s="13">
        <f>Table2[[#This Row],[No Build Volume/ Year]]</f>
        <v>0</v>
      </c>
      <c r="C29" s="13">
        <f>Table2[[#This Row],[Build Volume/ Year]]</f>
        <v>0</v>
      </c>
      <c r="D29" s="4">
        <f>Table12232[[#This Row],[No Build Volume/ Year]]*$B$4</f>
        <v>0</v>
      </c>
      <c r="E29" s="4">
        <f>Table12232[[#This Row],[Build Volume/ Year]]*$B$4</f>
        <v>0</v>
      </c>
      <c r="F29" s="84">
        <f>Table12232[[#This Row],[Build DVMT]]-Table12232[[#This Row],[No Build DVMT]]</f>
        <v>0</v>
      </c>
    </row>
    <row r="30" spans="1:8" x14ac:dyDescent="0.25">
      <c r="A30" s="58" t="str">
        <f>Table2[[#This Row],[Period &amp; Vehicle Type]]</f>
        <v>Non-Peak Truck</v>
      </c>
      <c r="B30" s="13">
        <f>Table2[[#This Row],[No Build Volume/ Year]]</f>
        <v>0</v>
      </c>
      <c r="C30" s="13">
        <f>Table2[[#This Row],[Build Volume/ Year]]</f>
        <v>0</v>
      </c>
      <c r="D30" s="23">
        <f>Table12232[[#This Row],[No Build Volume/ Year]]*$B$4</f>
        <v>0</v>
      </c>
      <c r="E30" s="23">
        <f>Table12232[[#This Row],[Build Volume/ Year]]*$B$4</f>
        <v>0</v>
      </c>
      <c r="F30" s="86">
        <f>Table12232[[#This Row],[Build DVMT]]-Table12232[[#This Row],[No Build DVMT]]</f>
        <v>0</v>
      </c>
    </row>
    <row r="31" spans="1:8" x14ac:dyDescent="0.25">
      <c r="A31" s="22" t="s">
        <v>12</v>
      </c>
      <c r="B31" s="95">
        <f>SUBTOTAL(109,Table12232[No Build Volume/ Year])</f>
        <v>0</v>
      </c>
      <c r="C31" s="95">
        <f>SUBTOTAL(109,Table12232[Build Volume/ Year])</f>
        <v>0</v>
      </c>
      <c r="D31" s="89">
        <f>SUBTOTAL(109,Table12232[No Build DVMT])</f>
        <v>0</v>
      </c>
      <c r="E31" s="89">
        <f>SUBTOTAL(109,Table12232[Build DVMT])</f>
        <v>0</v>
      </c>
      <c r="F31" s="106">
        <f>SUBTOTAL(103,Table12232[Change])</f>
        <v>8</v>
      </c>
    </row>
    <row r="32" spans="1:8" ht="18.75" x14ac:dyDescent="0.3">
      <c r="G32" s="70"/>
      <c r="H32" s="70"/>
    </row>
    <row r="33" spans="1:8" x14ac:dyDescent="0.25">
      <c r="G33" s="68"/>
      <c r="H33" s="68"/>
    </row>
    <row r="34" spans="1:8" ht="18.75" x14ac:dyDescent="0.3">
      <c r="A34" s="288" t="s">
        <v>11</v>
      </c>
      <c r="B34" s="289"/>
      <c r="C34" s="289"/>
      <c r="D34" s="289"/>
      <c r="E34" s="289"/>
      <c r="F34" s="290"/>
      <c r="G34" s="69"/>
      <c r="H34" s="69"/>
    </row>
    <row r="35" spans="1:8" x14ac:dyDescent="0.25">
      <c r="A35" s="19" t="s">
        <v>120</v>
      </c>
      <c r="B35" s="20" t="s">
        <v>14</v>
      </c>
      <c r="C35" s="20" t="s">
        <v>15</v>
      </c>
      <c r="D35" s="20" t="s">
        <v>111</v>
      </c>
      <c r="E35" s="20" t="s">
        <v>112</v>
      </c>
      <c r="F35" s="21" t="s">
        <v>20</v>
      </c>
      <c r="G35" s="72"/>
      <c r="H35" s="73"/>
    </row>
    <row r="36" spans="1:8" x14ac:dyDescent="0.25">
      <c r="A36" s="58" t="str">
        <f>Table3[[#This Row],[Period &amp; Vehicle Type]]</f>
        <v>Peak HOV</v>
      </c>
      <c r="B36" s="13">
        <f t="shared" ref="B36:C43" si="0">B10+B23</f>
        <v>0</v>
      </c>
      <c r="C36" s="13">
        <f t="shared" si="0"/>
        <v>0</v>
      </c>
      <c r="D36" s="4">
        <f>Table1223233[[#This Row],[No Build Volume/ Year]]*$B$4</f>
        <v>0</v>
      </c>
      <c r="E36" s="4">
        <f>Table1223233[[#This Row],[Build Volume/ Year]]*$B$4</f>
        <v>0</v>
      </c>
      <c r="F36" s="84">
        <f>Table1223233[[#This Row],[Build DVMT]]-Table1223233[[#This Row],[No Build DVMT]]</f>
        <v>0</v>
      </c>
    </row>
    <row r="37" spans="1:8" x14ac:dyDescent="0.25">
      <c r="A37" s="58" t="str">
        <f>Table3[[#This Row],[Period &amp; Vehicle Type]]</f>
        <v>Peak Non HOV Vehicles</v>
      </c>
      <c r="B37" s="13">
        <f t="shared" si="0"/>
        <v>0</v>
      </c>
      <c r="C37" s="13">
        <f t="shared" si="0"/>
        <v>0</v>
      </c>
      <c r="D37" s="4">
        <f>Table1223233[[#This Row],[No Build Volume/ Year]]*$B$4</f>
        <v>0</v>
      </c>
      <c r="E37" s="4">
        <f>Table1223233[[#This Row],[Build Volume/ Year]]*$B$4</f>
        <v>0</v>
      </c>
      <c r="F37" s="84">
        <f>Table1223233[[#This Row],[Build DVMT]]-Table1223233[[#This Row],[No Build DVMT]]</f>
        <v>0</v>
      </c>
    </row>
    <row r="38" spans="1:8" x14ac:dyDescent="0.25">
      <c r="A38" s="58" t="str">
        <f>Table3[[#This Row],[Period &amp; Vehicle Type]]</f>
        <v>Peak Weaving</v>
      </c>
      <c r="B38" s="13">
        <f t="shared" si="0"/>
        <v>0</v>
      </c>
      <c r="C38" s="13">
        <f t="shared" si="0"/>
        <v>0</v>
      </c>
      <c r="D38" s="4">
        <f>Table1223233[[#This Row],[No Build Volume/ Year]]*$B$4</f>
        <v>0</v>
      </c>
      <c r="E38" s="4">
        <f>Table1223233[[#This Row],[Build Volume/ Year]]*$B$4</f>
        <v>0</v>
      </c>
      <c r="F38" s="84">
        <f>Table1223233[[#This Row],[Build DVMT]]-Table1223233[[#This Row],[No Build DVMT]]</f>
        <v>0</v>
      </c>
    </row>
    <row r="39" spans="1:8" x14ac:dyDescent="0.25">
      <c r="A39" s="58" t="str">
        <f>Table3[[#This Row],[Period &amp; Vehicle Type]]</f>
        <v>Peak Truck</v>
      </c>
      <c r="B39" s="13">
        <f t="shared" si="0"/>
        <v>0</v>
      </c>
      <c r="C39" s="13">
        <f t="shared" si="0"/>
        <v>0</v>
      </c>
      <c r="D39" s="4">
        <f>Table1223233[[#This Row],[No Build Volume/ Year]]*$B$4</f>
        <v>0</v>
      </c>
      <c r="E39" s="4">
        <f>Table1223233[[#This Row],[Build Volume/ Year]]*$B$4</f>
        <v>0</v>
      </c>
      <c r="F39" s="84">
        <f>Table1223233[[#This Row],[Build DVMT]]-Table1223233[[#This Row],[No Build DVMT]]</f>
        <v>0</v>
      </c>
    </row>
    <row r="40" spans="1:8" x14ac:dyDescent="0.25">
      <c r="A40" s="58" t="str">
        <f>Table3[[#This Row],[Period &amp; Vehicle Type]]</f>
        <v>Peak Ramp</v>
      </c>
      <c r="B40" s="13">
        <f t="shared" si="0"/>
        <v>0</v>
      </c>
      <c r="C40" s="13">
        <f t="shared" si="0"/>
        <v>0</v>
      </c>
      <c r="D40" s="4">
        <f>Table1223233[[#This Row],[No Build Volume/ Year]]*$B$4</f>
        <v>0</v>
      </c>
      <c r="E40" s="4">
        <f>Table1223233[[#This Row],[Build Volume/ Year]]*$B$4</f>
        <v>0</v>
      </c>
      <c r="F40" s="84">
        <f>Table1223233[[#This Row],[Build DVMT]]-Table1223233[[#This Row],[No Build DVMT]]</f>
        <v>0</v>
      </c>
    </row>
    <row r="41" spans="1:8" x14ac:dyDescent="0.25">
      <c r="A41" s="58" t="str">
        <f>Table3[[#This Row],[Period &amp; Vehicle Type]]</f>
        <v>Peak Arterial</v>
      </c>
      <c r="B41" s="13">
        <f t="shared" si="0"/>
        <v>0</v>
      </c>
      <c r="C41" s="13">
        <f t="shared" si="0"/>
        <v>0</v>
      </c>
      <c r="D41" s="4">
        <f>Table1223233[[#This Row],[No Build Volume/ Year]]*$B$4</f>
        <v>0</v>
      </c>
      <c r="E41" s="4">
        <f>Table1223233[[#This Row],[Build Volume/ Year]]*$B$4</f>
        <v>0</v>
      </c>
      <c r="F41" s="84">
        <f>Table1223233[[#This Row],[Build DVMT]]-Table1223233[[#This Row],[No Build DVMT]]</f>
        <v>0</v>
      </c>
    </row>
    <row r="42" spans="1:8" x14ac:dyDescent="0.25">
      <c r="A42" s="58" t="str">
        <f>Table3[[#This Row],[Period &amp; Vehicle Type]]</f>
        <v>Non-Peak Non HOV</v>
      </c>
      <c r="B42" s="13">
        <f t="shared" si="0"/>
        <v>0</v>
      </c>
      <c r="C42" s="13">
        <f t="shared" si="0"/>
        <v>0</v>
      </c>
      <c r="D42" s="4">
        <f>Table1223233[[#This Row],[No Build Volume/ Year]]*$B$4</f>
        <v>0</v>
      </c>
      <c r="E42" s="4">
        <f>Table1223233[[#This Row],[Build Volume/ Year]]*$B$4</f>
        <v>0</v>
      </c>
      <c r="F42" s="84">
        <f>Table1223233[[#This Row],[Build DVMT]]-Table1223233[[#This Row],[No Build DVMT]]</f>
        <v>0</v>
      </c>
    </row>
    <row r="43" spans="1:8" x14ac:dyDescent="0.25">
      <c r="A43" s="58" t="str">
        <f>Table3[[#This Row],[Period &amp; Vehicle Type]]</f>
        <v>Non-Peak Truck</v>
      </c>
      <c r="B43" s="13">
        <f t="shared" si="0"/>
        <v>0</v>
      </c>
      <c r="C43" s="13">
        <f t="shared" si="0"/>
        <v>0</v>
      </c>
      <c r="D43" s="23">
        <f>Table1223233[[#This Row],[No Build Volume/ Year]]*$B$4</f>
        <v>0</v>
      </c>
      <c r="E43" s="23">
        <f>Table1223233[[#This Row],[Build Volume/ Year]]*$B$4</f>
        <v>0</v>
      </c>
      <c r="F43" s="86">
        <f>Table1223233[[#This Row],[Build DVMT]]-Table1223233[[#This Row],[No Build DVMT]]</f>
        <v>0</v>
      </c>
    </row>
    <row r="44" spans="1:8" x14ac:dyDescent="0.25">
      <c r="A44" s="22" t="s">
        <v>12</v>
      </c>
      <c r="B44" s="95">
        <f>SUBTOTAL(109,Table1223233[No Build Volume/ Year])</f>
        <v>0</v>
      </c>
      <c r="C44" s="95">
        <f>SUBTOTAL(109,Table1223233[Build Volume/ Year])</f>
        <v>0</v>
      </c>
      <c r="D44" s="139">
        <f>SUBTOTAL(109,Table1223233[No Build DVMT])</f>
        <v>0</v>
      </c>
      <c r="E44" s="139">
        <f>SUBTOTAL(109,Table1223233[Build DVMT])</f>
        <v>0</v>
      </c>
      <c r="F44" s="140">
        <f>SUBTOTAL(109,Table1223233[Change])</f>
        <v>0</v>
      </c>
    </row>
  </sheetData>
  <mergeCells count="4">
    <mergeCell ref="A1:B1"/>
    <mergeCell ref="A8:F8"/>
    <mergeCell ref="A21:F21"/>
    <mergeCell ref="A34:F34"/>
  </mergeCells>
  <pageMargins left="0.7" right="0.7" top="0.75" bottom="0.75" header="0.3" footer="0.3"/>
  <pageSetup orientation="portrait" verticalDpi="0" r:id="rId1"/>
  <tableParts count="4">
    <tablePart r:id="rId2"/>
    <tablePart r:id="rId3"/>
    <tablePart r:id="rId4"/>
    <tablePart r:id="rId5"/>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CFCBF-C307-4760-ABBD-20E05554DD4E}">
  <dimension ref="A1:D5"/>
  <sheetViews>
    <sheetView zoomScaleNormal="100" workbookViewId="0">
      <selection activeCell="F4" sqref="F4"/>
    </sheetView>
  </sheetViews>
  <sheetFormatPr defaultRowHeight="15" x14ac:dyDescent="0.25"/>
  <cols>
    <col min="1" max="1" width="22.28515625" bestFit="1" customWidth="1"/>
    <col min="2" max="2" width="21.85546875" customWidth="1"/>
    <col min="3" max="3" width="19" customWidth="1"/>
    <col min="4" max="4" width="18.5703125" customWidth="1"/>
  </cols>
  <sheetData>
    <row r="1" spans="1:4" ht="23.25" x14ac:dyDescent="0.35">
      <c r="A1" s="160" t="s">
        <v>150</v>
      </c>
    </row>
    <row r="2" spans="1:4" x14ac:dyDescent="0.25">
      <c r="A2" s="19" t="s">
        <v>130</v>
      </c>
      <c r="B2" s="20" t="s">
        <v>14</v>
      </c>
      <c r="C2" s="20" t="s">
        <v>15</v>
      </c>
      <c r="D2" s="21" t="s">
        <v>114</v>
      </c>
    </row>
    <row r="3" spans="1:4" x14ac:dyDescent="0.25">
      <c r="A3" s="11" t="s">
        <v>2</v>
      </c>
      <c r="B3" s="3">
        <f>DVHD!E39</f>
        <v>0</v>
      </c>
      <c r="C3" s="3">
        <f>DVHD!F39</f>
        <v>0</v>
      </c>
      <c r="D3" s="83">
        <f>Table7[[#This Row],[Build Volume/ Year]]-Table7[[#This Row],[No Build Volume/ Year]]</f>
        <v>0</v>
      </c>
    </row>
    <row r="4" spans="1:4" x14ac:dyDescent="0.25">
      <c r="A4" s="11" t="s">
        <v>4</v>
      </c>
      <c r="B4" s="3">
        <f>DVHD!E43</f>
        <v>0</v>
      </c>
      <c r="C4" s="3">
        <f>DVHD!F43</f>
        <v>0</v>
      </c>
      <c r="D4" s="83">
        <f>Table7[[#This Row],[Build Volume/ Year]]-Table7[[#This Row],[No Build Volume/ Year]]</f>
        <v>0</v>
      </c>
    </row>
    <row r="5" spans="1:4" x14ac:dyDescent="0.25">
      <c r="A5" s="22" t="s">
        <v>12</v>
      </c>
      <c r="B5" s="144">
        <f>SUBTOTAL(109,Table7[No Build Volume/ Year])</f>
        <v>0</v>
      </c>
      <c r="C5" s="144">
        <f>SUBTOTAL(109,Table7[Build Volume/ Year])</f>
        <v>0</v>
      </c>
      <c r="D5" s="145">
        <f>SUBTOTAL(109,Table7[Difference])</f>
        <v>0</v>
      </c>
    </row>
  </sheetData>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7CEA0-D787-4144-B7A7-92F048389109}">
  <dimension ref="A1:D7"/>
  <sheetViews>
    <sheetView zoomScaleNormal="100" workbookViewId="0">
      <selection activeCell="D9" sqref="D9"/>
    </sheetView>
  </sheetViews>
  <sheetFormatPr defaultRowHeight="15" x14ac:dyDescent="0.25"/>
  <cols>
    <col min="1" max="1" width="15.140625" style="1" customWidth="1"/>
    <col min="2" max="2" width="23" bestFit="1" customWidth="1"/>
    <col min="3" max="3" width="16.7109375" customWidth="1"/>
    <col min="4" max="4" width="13.5703125" bestFit="1" customWidth="1"/>
    <col min="5" max="5" width="12.140625" bestFit="1" customWidth="1"/>
  </cols>
  <sheetData>
    <row r="1" spans="1:4" ht="23.25" x14ac:dyDescent="0.35">
      <c r="A1" s="291" t="s">
        <v>151</v>
      </c>
      <c r="B1" s="291"/>
      <c r="C1" s="291"/>
    </row>
    <row r="2" spans="1:4" s="1" customFormat="1" x14ac:dyDescent="0.25">
      <c r="A2" s="19" t="s">
        <v>96</v>
      </c>
      <c r="B2" s="20" t="s">
        <v>41</v>
      </c>
      <c r="C2" s="20" t="s">
        <v>42</v>
      </c>
      <c r="D2" s="21" t="s">
        <v>20</v>
      </c>
    </row>
    <row r="3" spans="1:4" x14ac:dyDescent="0.25">
      <c r="A3" s="17" t="s">
        <v>38</v>
      </c>
      <c r="B3" s="148">
        <f>'Rate of Fatalities-Serious Inj'!K12</f>
        <v>0</v>
      </c>
      <c r="C3" s="148">
        <f>'Rate of Fatalities-Serious Inj'!L12</f>
        <v>0</v>
      </c>
      <c r="D3" s="148">
        <f>'Rate of Fatalities-Serious Inj'!M12</f>
        <v>0</v>
      </c>
    </row>
    <row r="4" spans="1:4" x14ac:dyDescent="0.25">
      <c r="A4" s="53" t="s">
        <v>39</v>
      </c>
      <c r="B4" s="148">
        <f>'Rate of Fatalities-Serious Inj'!K13</f>
        <v>0</v>
      </c>
      <c r="C4" s="148">
        <f>'Rate of Fatalities-Serious Inj'!L13</f>
        <v>0</v>
      </c>
      <c r="D4" s="148">
        <f>'Rate of Fatalities-Serious Inj'!M13</f>
        <v>0</v>
      </c>
    </row>
    <row r="7" spans="1:4" x14ac:dyDescent="0.25">
      <c r="B7" s="16"/>
    </row>
  </sheetData>
  <mergeCells count="1">
    <mergeCell ref="A1:C1"/>
  </mergeCells>
  <pageMargins left="0.7" right="0.7" top="0.75" bottom="0.75" header="0.3" footer="0.3"/>
  <pageSetup orientation="portrait" verticalDpi="0"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0DD2F-5E04-4126-B5A1-108FAF73A877}">
  <dimension ref="A1:J38"/>
  <sheetViews>
    <sheetView zoomScaleNormal="100" workbookViewId="0"/>
  </sheetViews>
  <sheetFormatPr defaultRowHeight="15" x14ac:dyDescent="0.25"/>
  <cols>
    <col min="1" max="1" width="22.28515625" bestFit="1" customWidth="1"/>
    <col min="2" max="2" width="24" bestFit="1" customWidth="1"/>
    <col min="3" max="4" width="20.85546875" bestFit="1" customWidth="1"/>
    <col min="5" max="5" width="17.7109375" bestFit="1" customWidth="1"/>
    <col min="6" max="6" width="26.7109375" bestFit="1" customWidth="1"/>
    <col min="7" max="7" width="23.42578125" bestFit="1" customWidth="1"/>
    <col min="8" max="9" width="19.140625" bestFit="1" customWidth="1"/>
    <col min="10" max="10" width="18.7109375" bestFit="1" customWidth="1"/>
  </cols>
  <sheetData>
    <row r="1" spans="1:10" ht="23.25" x14ac:dyDescent="0.35">
      <c r="A1" s="160" t="s">
        <v>152</v>
      </c>
    </row>
    <row r="2" spans="1:10" ht="18.75" x14ac:dyDescent="0.3">
      <c r="A2" s="244" t="s">
        <v>1</v>
      </c>
      <c r="B2" s="245"/>
      <c r="C2" s="245"/>
      <c r="D2" s="245"/>
      <c r="E2" s="245"/>
      <c r="F2" s="245"/>
      <c r="G2" s="245"/>
      <c r="H2" s="245"/>
      <c r="I2" s="245"/>
      <c r="J2" s="246"/>
    </row>
    <row r="3" spans="1:10" x14ac:dyDescent="0.25">
      <c r="A3" s="19" t="s">
        <v>120</v>
      </c>
      <c r="B3" s="20" t="s">
        <v>14</v>
      </c>
      <c r="C3" s="20" t="s">
        <v>15</v>
      </c>
      <c r="D3" s="20" t="s">
        <v>21</v>
      </c>
      <c r="E3" s="20" t="s">
        <v>22</v>
      </c>
      <c r="F3" s="29" t="s">
        <v>23</v>
      </c>
      <c r="G3" s="29" t="s">
        <v>24</v>
      </c>
      <c r="H3" s="29" t="s">
        <v>25</v>
      </c>
      <c r="I3" s="29" t="s">
        <v>26</v>
      </c>
      <c r="J3" s="30" t="s">
        <v>20</v>
      </c>
    </row>
    <row r="4" spans="1:10" x14ac:dyDescent="0.25">
      <c r="A4" s="58" t="str">
        <f>DVHD!D10</f>
        <v>Peak HOV</v>
      </c>
      <c r="B4" s="59">
        <f>DVHD!E10</f>
        <v>0</v>
      </c>
      <c r="C4" s="59">
        <f>DVHD!F10</f>
        <v>0</v>
      </c>
      <c r="D4" s="47">
        <f>DVHD!G10</f>
        <v>0</v>
      </c>
      <c r="E4" s="47">
        <f>DVHD!H10</f>
        <v>0</v>
      </c>
      <c r="F4" s="47">
        <f>DVHD!$E$4</f>
        <v>0</v>
      </c>
      <c r="G4" s="47">
        <f>DVHD!$E$4</f>
        <v>0</v>
      </c>
      <c r="H4" s="110">
        <f>F4*D4*B4</f>
        <v>0</v>
      </c>
      <c r="I4" s="110">
        <f>G4*E4*C4</f>
        <v>0</v>
      </c>
      <c r="J4" s="111">
        <f>I4-H4</f>
        <v>0</v>
      </c>
    </row>
    <row r="5" spans="1:10" x14ac:dyDescent="0.25">
      <c r="A5" s="58" t="str">
        <f>DVHD!D11</f>
        <v>Peak Non HOV Vehicles</v>
      </c>
      <c r="B5" s="3">
        <f>DVHD!E11</f>
        <v>0</v>
      </c>
      <c r="C5" s="3">
        <f>DVHD!F11</f>
        <v>0</v>
      </c>
      <c r="D5" s="41">
        <f>DVHD!G11</f>
        <v>0</v>
      </c>
      <c r="E5" s="41">
        <f>DVHD!H11</f>
        <v>0</v>
      </c>
      <c r="F5" s="2">
        <f>DVHD!$E$4</f>
        <v>0</v>
      </c>
      <c r="G5" s="2">
        <f>DVHD!$E$4</f>
        <v>0</v>
      </c>
      <c r="H5" s="110">
        <f t="shared" ref="H5:H11" si="0">F5*D5*B5</f>
        <v>0</v>
      </c>
      <c r="I5" s="110">
        <f t="shared" ref="I5:I11" si="1">G5*E5*C5</f>
        <v>0</v>
      </c>
      <c r="J5" s="111">
        <f t="shared" ref="J5:J11" si="2">I5-H5</f>
        <v>0</v>
      </c>
    </row>
    <row r="6" spans="1:10" x14ac:dyDescent="0.25">
      <c r="A6" s="58" t="str">
        <f>DVHD!D12</f>
        <v>Peak Weaving</v>
      </c>
      <c r="B6" s="3">
        <f>DVHD!E12</f>
        <v>0</v>
      </c>
      <c r="C6" s="3">
        <f>DVHD!F12</f>
        <v>0</v>
      </c>
      <c r="D6" s="41">
        <f>DVHD!G12</f>
        <v>0</v>
      </c>
      <c r="E6" s="41">
        <f>DVHD!H12</f>
        <v>0</v>
      </c>
      <c r="F6" s="2">
        <f>DVHD!$E$4</f>
        <v>0</v>
      </c>
      <c r="G6" s="2">
        <f>DVHD!$E$4</f>
        <v>0</v>
      </c>
      <c r="H6" s="110">
        <f t="shared" si="0"/>
        <v>0</v>
      </c>
      <c r="I6" s="110">
        <f t="shared" si="1"/>
        <v>0</v>
      </c>
      <c r="J6" s="111">
        <f t="shared" si="2"/>
        <v>0</v>
      </c>
    </row>
    <row r="7" spans="1:10" x14ac:dyDescent="0.25">
      <c r="A7" s="58" t="str">
        <f>DVHD!D13</f>
        <v>Peak Truck</v>
      </c>
      <c r="B7" s="3">
        <f>DVHD!E13</f>
        <v>0</v>
      </c>
      <c r="C7" s="3">
        <f>DVHD!F13</f>
        <v>0</v>
      </c>
      <c r="D7" s="41">
        <f>DVHD!G13</f>
        <v>0</v>
      </c>
      <c r="E7" s="41">
        <f>DVHD!H13</f>
        <v>0</v>
      </c>
      <c r="F7" s="2">
        <f>DVHD!$E$4</f>
        <v>0</v>
      </c>
      <c r="G7" s="2">
        <f>DVHD!$E$4</f>
        <v>0</v>
      </c>
      <c r="H7" s="110">
        <f t="shared" si="0"/>
        <v>0</v>
      </c>
      <c r="I7" s="110">
        <f t="shared" si="1"/>
        <v>0</v>
      </c>
      <c r="J7" s="111">
        <f t="shared" si="2"/>
        <v>0</v>
      </c>
    </row>
    <row r="8" spans="1:10" x14ac:dyDescent="0.25">
      <c r="A8" s="58" t="str">
        <f>DVHD!D14</f>
        <v>Peak Ramp</v>
      </c>
      <c r="B8" s="3">
        <f>DVHD!E14</f>
        <v>0</v>
      </c>
      <c r="C8" s="3">
        <f>DVHD!F14</f>
        <v>0</v>
      </c>
      <c r="D8" s="41">
        <f>DVHD!G14</f>
        <v>0</v>
      </c>
      <c r="E8" s="41">
        <f>DVHD!H14</f>
        <v>0</v>
      </c>
      <c r="F8" s="2">
        <f>DVHD!$E$4</f>
        <v>0</v>
      </c>
      <c r="G8" s="2">
        <f>DVHD!$E$4</f>
        <v>0</v>
      </c>
      <c r="H8" s="110">
        <f t="shared" si="0"/>
        <v>0</v>
      </c>
      <c r="I8" s="110">
        <f t="shared" si="1"/>
        <v>0</v>
      </c>
      <c r="J8" s="111">
        <f t="shared" si="2"/>
        <v>0</v>
      </c>
    </row>
    <row r="9" spans="1:10" x14ac:dyDescent="0.25">
      <c r="A9" s="58" t="str">
        <f>DVHD!D15</f>
        <v>Peak Arterial</v>
      </c>
      <c r="B9" s="3">
        <f>DVHD!E15</f>
        <v>0</v>
      </c>
      <c r="C9" s="3">
        <f>DVHD!F15</f>
        <v>0</v>
      </c>
      <c r="D9" s="41">
        <f>DVHD!G15</f>
        <v>0</v>
      </c>
      <c r="E9" s="41">
        <f>DVHD!H15</f>
        <v>0</v>
      </c>
      <c r="F9" s="2">
        <f>DVHD!$E$4</f>
        <v>0</v>
      </c>
      <c r="G9" s="2">
        <f>DVHD!$E$4</f>
        <v>0</v>
      </c>
      <c r="H9" s="110">
        <f t="shared" si="0"/>
        <v>0</v>
      </c>
      <c r="I9" s="110">
        <f t="shared" si="1"/>
        <v>0</v>
      </c>
      <c r="J9" s="111">
        <f t="shared" si="2"/>
        <v>0</v>
      </c>
    </row>
    <row r="10" spans="1:10" x14ac:dyDescent="0.25">
      <c r="A10" s="58" t="str">
        <f>DVHD!D16</f>
        <v>Non-Peak Non HOV</v>
      </c>
      <c r="B10" s="3">
        <f>DVHD!E16</f>
        <v>0</v>
      </c>
      <c r="C10" s="3">
        <f>DVHD!F16</f>
        <v>0</v>
      </c>
      <c r="D10" s="41">
        <f>DVHD!G16</f>
        <v>0</v>
      </c>
      <c r="E10" s="41">
        <f>DVHD!H16</f>
        <v>0</v>
      </c>
      <c r="F10" s="2">
        <f>DVHD!$E$4</f>
        <v>0</v>
      </c>
      <c r="G10" s="2">
        <f>DVHD!$E$4</f>
        <v>0</v>
      </c>
      <c r="H10" s="110">
        <f t="shared" si="0"/>
        <v>0</v>
      </c>
      <c r="I10" s="110">
        <f t="shared" si="1"/>
        <v>0</v>
      </c>
      <c r="J10" s="111">
        <f t="shared" si="2"/>
        <v>0</v>
      </c>
    </row>
    <row r="11" spans="1:10" x14ac:dyDescent="0.25">
      <c r="A11" s="58" t="str">
        <f>DVHD!D17</f>
        <v>Non-Peak Truck</v>
      </c>
      <c r="B11" s="3">
        <f>DVHD!E17</f>
        <v>0</v>
      </c>
      <c r="C11" s="3">
        <f>DVHD!F17</f>
        <v>0</v>
      </c>
      <c r="D11" s="41">
        <f>DVHD!G17</f>
        <v>0</v>
      </c>
      <c r="E11" s="41">
        <f>DVHD!H17</f>
        <v>0</v>
      </c>
      <c r="F11" s="2">
        <f>DVHD!$E$4</f>
        <v>0</v>
      </c>
      <c r="G11" s="2">
        <f>DVHD!$E$4</f>
        <v>0</v>
      </c>
      <c r="H11" s="110">
        <f t="shared" si="0"/>
        <v>0</v>
      </c>
      <c r="I11" s="110">
        <f t="shared" si="1"/>
        <v>0</v>
      </c>
      <c r="J11" s="111">
        <f t="shared" si="2"/>
        <v>0</v>
      </c>
    </row>
    <row r="12" spans="1:10" x14ac:dyDescent="0.25">
      <c r="A12" s="22" t="s">
        <v>12</v>
      </c>
      <c r="B12" s="37">
        <f>SUBTOTAL(109,Table9[No Build Volume/ Year])</f>
        <v>0</v>
      </c>
      <c r="C12" s="37">
        <f>SUBTOTAL(109,Table9[Build Volume/ Year])</f>
        <v>0</v>
      </c>
      <c r="D12" s="2"/>
      <c r="E12" s="2"/>
      <c r="F12" s="38"/>
      <c r="G12" s="38"/>
      <c r="H12" s="39">
        <f>SUBTOTAL(109,Table9[No Build Velocity])</f>
        <v>0</v>
      </c>
      <c r="I12" s="39">
        <f>SUBTOTAL(109,Table9[Build Velocity])</f>
        <v>0</v>
      </c>
      <c r="J12" s="40">
        <f>SUBTOTAL(109,Table9[Change])</f>
        <v>0</v>
      </c>
    </row>
    <row r="13" spans="1:10" x14ac:dyDescent="0.25">
      <c r="A13" s="15"/>
      <c r="B13" s="104"/>
      <c r="C13" s="104"/>
      <c r="D13" s="15"/>
      <c r="E13" s="15"/>
      <c r="F13" s="15"/>
      <c r="G13" s="15"/>
      <c r="H13" s="105"/>
      <c r="I13" s="105"/>
      <c r="J13" s="105"/>
    </row>
    <row r="14" spans="1:10" x14ac:dyDescent="0.25">
      <c r="A14" s="15"/>
      <c r="B14" s="104"/>
      <c r="C14" s="104"/>
      <c r="D14" s="15"/>
      <c r="E14" s="15"/>
      <c r="F14" s="15"/>
      <c r="G14" s="15"/>
      <c r="H14" s="105"/>
      <c r="I14" s="105"/>
      <c r="J14" s="105"/>
    </row>
    <row r="15" spans="1:10" ht="18.75" x14ac:dyDescent="0.3">
      <c r="A15" s="244" t="s">
        <v>5</v>
      </c>
      <c r="B15" s="245"/>
      <c r="C15" s="245"/>
      <c r="D15" s="245"/>
      <c r="E15" s="245"/>
      <c r="F15" s="245"/>
      <c r="G15" s="245"/>
      <c r="H15" s="245"/>
      <c r="I15" s="245"/>
      <c r="J15" s="246"/>
    </row>
    <row r="16" spans="1:10" x14ac:dyDescent="0.25">
      <c r="A16" s="19" t="s">
        <v>120</v>
      </c>
      <c r="B16" s="20" t="s">
        <v>14</v>
      </c>
      <c r="C16" s="20" t="s">
        <v>15</v>
      </c>
      <c r="D16" s="20" t="s">
        <v>21</v>
      </c>
      <c r="E16" s="20" t="s">
        <v>22</v>
      </c>
      <c r="F16" s="29" t="s">
        <v>23</v>
      </c>
      <c r="G16" s="29" t="s">
        <v>24</v>
      </c>
      <c r="H16" s="29" t="s">
        <v>25</v>
      </c>
      <c r="I16" s="29" t="s">
        <v>26</v>
      </c>
      <c r="J16" s="30" t="s">
        <v>20</v>
      </c>
    </row>
    <row r="17" spans="1:10" x14ac:dyDescent="0.25">
      <c r="A17" s="58" t="str">
        <f>DVHD!D23</f>
        <v>Peak HOV</v>
      </c>
      <c r="B17" s="59">
        <f>DVHD!E23</f>
        <v>0</v>
      </c>
      <c r="C17" s="59">
        <f>DVHD!F23</f>
        <v>0</v>
      </c>
      <c r="D17" s="47">
        <f>DVHD!G23</f>
        <v>0</v>
      </c>
      <c r="E17" s="47">
        <f>DVHD!H23</f>
        <v>0</v>
      </c>
      <c r="F17" s="47">
        <f>DVHD!$E$4</f>
        <v>0</v>
      </c>
      <c r="G17" s="47">
        <f>DVHD!$E$4</f>
        <v>0</v>
      </c>
      <c r="H17" s="110">
        <f>F17*D17*B17</f>
        <v>0</v>
      </c>
      <c r="I17" s="110">
        <f>G17*E17*C17</f>
        <v>0</v>
      </c>
      <c r="J17" s="111">
        <f>I17-H17</f>
        <v>0</v>
      </c>
    </row>
    <row r="18" spans="1:10" x14ac:dyDescent="0.25">
      <c r="A18" s="58" t="str">
        <f>DVHD!D24</f>
        <v>Peak Non HOV Vehicles</v>
      </c>
      <c r="B18" s="59">
        <f>DVHD!E24</f>
        <v>0</v>
      </c>
      <c r="C18" s="59">
        <f>DVHD!F24</f>
        <v>0</v>
      </c>
      <c r="D18" s="47">
        <f>DVHD!G24</f>
        <v>0</v>
      </c>
      <c r="E18" s="47">
        <f>DVHD!H24</f>
        <v>0</v>
      </c>
      <c r="F18" s="2">
        <f>DVHD!$E$4</f>
        <v>0</v>
      </c>
      <c r="G18" s="2">
        <f>DVHD!$E$4</f>
        <v>0</v>
      </c>
      <c r="H18" s="110">
        <f t="shared" ref="H18:H24" si="3">F18*D18*B18</f>
        <v>0</v>
      </c>
      <c r="I18" s="110">
        <f t="shared" ref="I18:I24" si="4">G18*E18*C18</f>
        <v>0</v>
      </c>
      <c r="J18" s="111">
        <f t="shared" ref="J18:J24" si="5">I18-H18</f>
        <v>0</v>
      </c>
    </row>
    <row r="19" spans="1:10" x14ac:dyDescent="0.25">
      <c r="A19" s="58" t="str">
        <f>DVHD!D25</f>
        <v>Peak Weaving</v>
      </c>
      <c r="B19" s="59">
        <f>DVHD!E25</f>
        <v>0</v>
      </c>
      <c r="C19" s="59">
        <f>DVHD!F25</f>
        <v>0</v>
      </c>
      <c r="D19" s="47">
        <f>DVHD!G25</f>
        <v>0</v>
      </c>
      <c r="E19" s="47">
        <f>DVHD!H25</f>
        <v>0</v>
      </c>
      <c r="F19" s="2">
        <f>DVHD!$E$4</f>
        <v>0</v>
      </c>
      <c r="G19" s="2">
        <f>DVHD!$E$4</f>
        <v>0</v>
      </c>
      <c r="H19" s="110">
        <f t="shared" si="3"/>
        <v>0</v>
      </c>
      <c r="I19" s="110">
        <f t="shared" si="4"/>
        <v>0</v>
      </c>
      <c r="J19" s="111">
        <f t="shared" si="5"/>
        <v>0</v>
      </c>
    </row>
    <row r="20" spans="1:10" x14ac:dyDescent="0.25">
      <c r="A20" s="58" t="str">
        <f>DVHD!D26</f>
        <v>Peak Truck</v>
      </c>
      <c r="B20" s="59">
        <f>DVHD!E26</f>
        <v>0</v>
      </c>
      <c r="C20" s="59">
        <f>DVHD!F26</f>
        <v>0</v>
      </c>
      <c r="D20" s="47">
        <f>DVHD!G26</f>
        <v>0</v>
      </c>
      <c r="E20" s="47">
        <f>DVHD!H26</f>
        <v>0</v>
      </c>
      <c r="F20" s="2">
        <f>DVHD!$E$4</f>
        <v>0</v>
      </c>
      <c r="G20" s="2">
        <f>DVHD!$E$4</f>
        <v>0</v>
      </c>
      <c r="H20" s="110">
        <f t="shared" si="3"/>
        <v>0</v>
      </c>
      <c r="I20" s="110">
        <f t="shared" si="4"/>
        <v>0</v>
      </c>
      <c r="J20" s="111">
        <f t="shared" si="5"/>
        <v>0</v>
      </c>
    </row>
    <row r="21" spans="1:10" x14ac:dyDescent="0.25">
      <c r="A21" s="58" t="str">
        <f>DVHD!D27</f>
        <v>Peak Ramp</v>
      </c>
      <c r="B21" s="59">
        <f>DVHD!E27</f>
        <v>0</v>
      </c>
      <c r="C21" s="59">
        <f>DVHD!F27</f>
        <v>0</v>
      </c>
      <c r="D21" s="47">
        <f>DVHD!G27</f>
        <v>0</v>
      </c>
      <c r="E21" s="47">
        <f>DVHD!H27</f>
        <v>0</v>
      </c>
      <c r="F21" s="2">
        <f>DVHD!$E$4</f>
        <v>0</v>
      </c>
      <c r="G21" s="2">
        <f>DVHD!$E$4</f>
        <v>0</v>
      </c>
      <c r="H21" s="110">
        <f t="shared" si="3"/>
        <v>0</v>
      </c>
      <c r="I21" s="110">
        <f t="shared" si="4"/>
        <v>0</v>
      </c>
      <c r="J21" s="111">
        <f t="shared" si="5"/>
        <v>0</v>
      </c>
    </row>
    <row r="22" spans="1:10" x14ac:dyDescent="0.25">
      <c r="A22" s="58" t="str">
        <f>DVHD!D28</f>
        <v>Peak Arterial</v>
      </c>
      <c r="B22" s="59">
        <f>DVHD!E28</f>
        <v>0</v>
      </c>
      <c r="C22" s="59">
        <f>DVHD!F28</f>
        <v>0</v>
      </c>
      <c r="D22" s="47">
        <f>DVHD!G28</f>
        <v>0</v>
      </c>
      <c r="E22" s="47">
        <f>DVHD!H28</f>
        <v>0</v>
      </c>
      <c r="F22" s="2">
        <f>DVHD!$E$4</f>
        <v>0</v>
      </c>
      <c r="G22" s="2">
        <f>DVHD!$E$4</f>
        <v>0</v>
      </c>
      <c r="H22" s="110">
        <f t="shared" si="3"/>
        <v>0</v>
      </c>
      <c r="I22" s="110">
        <f t="shared" si="4"/>
        <v>0</v>
      </c>
      <c r="J22" s="111">
        <f t="shared" si="5"/>
        <v>0</v>
      </c>
    </row>
    <row r="23" spans="1:10" x14ac:dyDescent="0.25">
      <c r="A23" s="58" t="str">
        <f>DVHD!D29</f>
        <v>Non-Peak Non HOV</v>
      </c>
      <c r="B23" s="59">
        <f>DVHD!E29</f>
        <v>0</v>
      </c>
      <c r="C23" s="59">
        <f>DVHD!F29</f>
        <v>0</v>
      </c>
      <c r="D23" s="47">
        <f>DVHD!G29</f>
        <v>0</v>
      </c>
      <c r="E23" s="47">
        <f>DVHD!H29</f>
        <v>0</v>
      </c>
      <c r="F23" s="2">
        <f>DVHD!$E$4</f>
        <v>0</v>
      </c>
      <c r="G23" s="2">
        <f>DVHD!$E$4</f>
        <v>0</v>
      </c>
      <c r="H23" s="110">
        <f t="shared" si="3"/>
        <v>0</v>
      </c>
      <c r="I23" s="110">
        <f t="shared" si="4"/>
        <v>0</v>
      </c>
      <c r="J23" s="111">
        <f t="shared" si="5"/>
        <v>0</v>
      </c>
    </row>
    <row r="24" spans="1:10" x14ac:dyDescent="0.25">
      <c r="A24" s="58" t="str">
        <f>DVHD!D30</f>
        <v>Non-Peak Truck</v>
      </c>
      <c r="B24" s="59">
        <f>DVHD!E30</f>
        <v>0</v>
      </c>
      <c r="C24" s="59">
        <f>DVHD!F30</f>
        <v>0</v>
      </c>
      <c r="D24" s="47">
        <f>DVHD!G30</f>
        <v>0</v>
      </c>
      <c r="E24" s="47">
        <f>DVHD!H30</f>
        <v>0</v>
      </c>
      <c r="F24" s="2">
        <f>DVHD!$E$4</f>
        <v>0</v>
      </c>
      <c r="G24" s="2">
        <f>DVHD!$E$4</f>
        <v>0</v>
      </c>
      <c r="H24" s="110">
        <f t="shared" si="3"/>
        <v>0</v>
      </c>
      <c r="I24" s="110">
        <f t="shared" si="4"/>
        <v>0</v>
      </c>
      <c r="J24" s="111">
        <f t="shared" si="5"/>
        <v>0</v>
      </c>
    </row>
    <row r="25" spans="1:10" x14ac:dyDescent="0.25">
      <c r="A25" s="22" t="s">
        <v>12</v>
      </c>
      <c r="B25" s="37">
        <f>SUBTOTAL(109,Table934[No Build Volume/ Year])</f>
        <v>0</v>
      </c>
      <c r="C25" s="37">
        <f>SUBTOTAL(109,Table934[Build Volume/ Year])</f>
        <v>0</v>
      </c>
      <c r="D25" s="2"/>
      <c r="E25" s="2"/>
      <c r="F25" s="38"/>
      <c r="G25" s="38"/>
      <c r="H25" s="39">
        <f>SUBTOTAL(109,Table934[No Build Velocity])</f>
        <v>0</v>
      </c>
      <c r="I25" s="39">
        <f>SUBTOTAL(109,Table934[Build Velocity])</f>
        <v>0</v>
      </c>
      <c r="J25" s="40">
        <f>SUBTOTAL(109,Table934[Change])</f>
        <v>0</v>
      </c>
    </row>
    <row r="28" spans="1:10" ht="18.75" x14ac:dyDescent="0.3">
      <c r="A28" s="244" t="s">
        <v>11</v>
      </c>
      <c r="B28" s="245"/>
      <c r="C28" s="245"/>
      <c r="D28" s="245"/>
      <c r="E28" s="245"/>
      <c r="F28" s="245"/>
      <c r="G28" s="245"/>
      <c r="H28" s="245"/>
      <c r="I28" s="245"/>
      <c r="J28" s="246"/>
    </row>
    <row r="29" spans="1:10" x14ac:dyDescent="0.25">
      <c r="A29" s="19" t="s">
        <v>120</v>
      </c>
      <c r="B29" s="20" t="s">
        <v>14</v>
      </c>
      <c r="C29" s="20" t="s">
        <v>15</v>
      </c>
      <c r="D29" s="20" t="s">
        <v>21</v>
      </c>
      <c r="E29" s="20" t="s">
        <v>22</v>
      </c>
      <c r="F29" s="29" t="s">
        <v>23</v>
      </c>
      <c r="G29" s="29" t="s">
        <v>24</v>
      </c>
      <c r="H29" s="29" t="s">
        <v>25</v>
      </c>
      <c r="I29" s="29" t="s">
        <v>26</v>
      </c>
      <c r="J29" s="30" t="s">
        <v>20</v>
      </c>
    </row>
    <row r="30" spans="1:10" x14ac:dyDescent="0.25">
      <c r="A30" s="58" t="str">
        <f>DVHD!D36</f>
        <v>Peak HOV</v>
      </c>
      <c r="B30" s="59">
        <f>SUM(B4,B17)</f>
        <v>0</v>
      </c>
      <c r="C30" s="59">
        <f>SUM(C4,C17)</f>
        <v>0</v>
      </c>
      <c r="D30" s="47" t="str">
        <f>IFERROR(Table93435[[#This Row],[No Build Velocity]]/Table93435[[#This Row],[No Build Impacted Length]]/Table93435[[#This Row],[No Build Volume/ Year]],"")</f>
        <v/>
      </c>
      <c r="E30" s="47" t="str">
        <f>IFERROR(Table93435[[#This Row],[Build Velocity]]/Table93435[[#This Row],[Build Impacted Length]]/Table93435[[#This Row],[Build Volume/ Year]],"")</f>
        <v/>
      </c>
      <c r="F30" s="47">
        <f>DVHD!$E$4</f>
        <v>0</v>
      </c>
      <c r="G30" s="47">
        <f>DVHD!$E$4</f>
        <v>0</v>
      </c>
      <c r="H30" s="110">
        <f>SUM(H4,H17)</f>
        <v>0</v>
      </c>
      <c r="I30" s="110">
        <f>SUM(I4,I17)</f>
        <v>0</v>
      </c>
      <c r="J30" s="111">
        <f>I30-H30</f>
        <v>0</v>
      </c>
    </row>
    <row r="31" spans="1:10" x14ac:dyDescent="0.25">
      <c r="A31" s="58" t="str">
        <f>DVHD!D37</f>
        <v>Peak Non HOV Vehicles</v>
      </c>
      <c r="B31" s="59">
        <f t="shared" ref="B31:C37" si="6">SUM(B5,B18)</f>
        <v>0</v>
      </c>
      <c r="C31" s="59">
        <f t="shared" si="6"/>
        <v>0</v>
      </c>
      <c r="D31" s="47" t="str">
        <f>IFERROR(Table93435[[#This Row],[No Build Velocity]]/Table93435[[#This Row],[No Build Impacted Length]]/Table93435[[#This Row],[No Build Volume/ Year]],"")</f>
        <v/>
      </c>
      <c r="E31" s="47" t="str">
        <f>IFERROR(Table93435[[#This Row],[No Build Velocity]]/Table93435[[#This Row],[No Build Impacted Length]]/Table93435[[#This Row],[No Build Volume/ Year]],"")</f>
        <v/>
      </c>
      <c r="F31" s="2">
        <f>DVHD!$E$4</f>
        <v>0</v>
      </c>
      <c r="G31" s="2">
        <f>DVHD!$E$4</f>
        <v>0</v>
      </c>
      <c r="H31" s="110">
        <f t="shared" ref="H31:I37" si="7">SUM(H5,H18)</f>
        <v>0</v>
      </c>
      <c r="I31" s="110">
        <f t="shared" si="7"/>
        <v>0</v>
      </c>
      <c r="J31" s="111">
        <f t="shared" ref="J31:J37" si="8">I31-H31</f>
        <v>0</v>
      </c>
    </row>
    <row r="32" spans="1:10" x14ac:dyDescent="0.25">
      <c r="A32" s="58" t="str">
        <f>DVHD!D38</f>
        <v>Peak Weaving</v>
      </c>
      <c r="B32" s="59">
        <f t="shared" si="6"/>
        <v>0</v>
      </c>
      <c r="C32" s="59">
        <f t="shared" si="6"/>
        <v>0</v>
      </c>
      <c r="D32" s="47" t="str">
        <f>IFERROR(Table93435[[#This Row],[No Build Velocity]]/Table93435[[#This Row],[No Build Impacted Length]]/Table93435[[#This Row],[No Build Volume/ Year]],"")</f>
        <v/>
      </c>
      <c r="E32" s="47" t="str">
        <f>IFERROR(Table93435[[#This Row],[No Build Velocity]]/Table93435[[#This Row],[No Build Impacted Length]]/Table93435[[#This Row],[No Build Volume/ Year]],"")</f>
        <v/>
      </c>
      <c r="F32" s="2">
        <f>DVHD!$E$4</f>
        <v>0</v>
      </c>
      <c r="G32" s="2">
        <f>DVHD!$E$4</f>
        <v>0</v>
      </c>
      <c r="H32" s="110">
        <f t="shared" si="7"/>
        <v>0</v>
      </c>
      <c r="I32" s="110">
        <f t="shared" si="7"/>
        <v>0</v>
      </c>
      <c r="J32" s="111">
        <f t="shared" si="8"/>
        <v>0</v>
      </c>
    </row>
    <row r="33" spans="1:10" x14ac:dyDescent="0.25">
      <c r="A33" s="58" t="str">
        <f>DVHD!D39</f>
        <v>Peak Truck</v>
      </c>
      <c r="B33" s="59">
        <f t="shared" si="6"/>
        <v>0</v>
      </c>
      <c r="C33" s="59">
        <f t="shared" si="6"/>
        <v>0</v>
      </c>
      <c r="D33" s="47" t="str">
        <f>IFERROR(Table93435[[#This Row],[No Build Velocity]]/Table93435[[#This Row],[No Build Impacted Length]]/Table93435[[#This Row],[No Build Volume/ Year]],"")</f>
        <v/>
      </c>
      <c r="E33" s="47" t="str">
        <f>IFERROR(Table93435[[#This Row],[No Build Velocity]]/Table93435[[#This Row],[No Build Impacted Length]]/Table93435[[#This Row],[No Build Volume/ Year]],"")</f>
        <v/>
      </c>
      <c r="F33" s="2">
        <f>DVHD!$E$4</f>
        <v>0</v>
      </c>
      <c r="G33" s="2">
        <f>DVHD!$E$4</f>
        <v>0</v>
      </c>
      <c r="H33" s="110">
        <f t="shared" si="7"/>
        <v>0</v>
      </c>
      <c r="I33" s="110">
        <f t="shared" si="7"/>
        <v>0</v>
      </c>
      <c r="J33" s="111">
        <f t="shared" si="8"/>
        <v>0</v>
      </c>
    </row>
    <row r="34" spans="1:10" x14ac:dyDescent="0.25">
      <c r="A34" s="58" t="str">
        <f>DVHD!D40</f>
        <v>Peak Ramp</v>
      </c>
      <c r="B34" s="59">
        <f t="shared" si="6"/>
        <v>0</v>
      </c>
      <c r="C34" s="59">
        <f t="shared" si="6"/>
        <v>0</v>
      </c>
      <c r="D34" s="47" t="str">
        <f>IFERROR(Table93435[[#This Row],[No Build Velocity]]/Table93435[[#This Row],[No Build Impacted Length]]/Table93435[[#This Row],[No Build Volume/ Year]],"")</f>
        <v/>
      </c>
      <c r="E34" s="47" t="str">
        <f>IFERROR(Table93435[[#This Row],[No Build Velocity]]/Table93435[[#This Row],[No Build Impacted Length]]/Table93435[[#This Row],[No Build Volume/ Year]],"")</f>
        <v/>
      </c>
      <c r="F34" s="2">
        <f>DVHD!$E$4</f>
        <v>0</v>
      </c>
      <c r="G34" s="2">
        <f>DVHD!$E$4</f>
        <v>0</v>
      </c>
      <c r="H34" s="110">
        <f t="shared" si="7"/>
        <v>0</v>
      </c>
      <c r="I34" s="110">
        <f t="shared" si="7"/>
        <v>0</v>
      </c>
      <c r="J34" s="111">
        <f t="shared" si="8"/>
        <v>0</v>
      </c>
    </row>
    <row r="35" spans="1:10" x14ac:dyDescent="0.25">
      <c r="A35" s="58" t="str">
        <f>DVHD!D41</f>
        <v>Peak Arterial</v>
      </c>
      <c r="B35" s="59">
        <f t="shared" si="6"/>
        <v>0</v>
      </c>
      <c r="C35" s="59">
        <f t="shared" si="6"/>
        <v>0</v>
      </c>
      <c r="D35" s="47" t="str">
        <f>IFERROR(Table93435[[#This Row],[No Build Velocity]]/Table93435[[#This Row],[No Build Impacted Length]]/Table93435[[#This Row],[No Build Volume/ Year]],"")</f>
        <v/>
      </c>
      <c r="E35" s="47" t="str">
        <f>IFERROR(Table93435[[#This Row],[No Build Velocity]]/Table93435[[#This Row],[No Build Impacted Length]]/Table93435[[#This Row],[No Build Volume/ Year]],"")</f>
        <v/>
      </c>
      <c r="F35" s="2">
        <f>DVHD!$E$4</f>
        <v>0</v>
      </c>
      <c r="G35" s="2">
        <f>DVHD!$E$4</f>
        <v>0</v>
      </c>
      <c r="H35" s="110">
        <f t="shared" si="7"/>
        <v>0</v>
      </c>
      <c r="I35" s="110">
        <f t="shared" si="7"/>
        <v>0</v>
      </c>
      <c r="J35" s="111">
        <f t="shared" si="8"/>
        <v>0</v>
      </c>
    </row>
    <row r="36" spans="1:10" x14ac:dyDescent="0.25">
      <c r="A36" s="58" t="str">
        <f>DVHD!D42</f>
        <v>Non-Peak Non HOV</v>
      </c>
      <c r="B36" s="59">
        <f t="shared" si="6"/>
        <v>0</v>
      </c>
      <c r="C36" s="59">
        <f t="shared" si="6"/>
        <v>0</v>
      </c>
      <c r="D36" s="47" t="str">
        <f>IFERROR(Table93435[[#This Row],[No Build Velocity]]/Table93435[[#This Row],[No Build Impacted Length]]/Table93435[[#This Row],[No Build Volume/ Year]],"")</f>
        <v/>
      </c>
      <c r="E36" s="47" t="str">
        <f>IFERROR(Table93435[[#This Row],[No Build Velocity]]/Table93435[[#This Row],[No Build Impacted Length]]/Table93435[[#This Row],[No Build Volume/ Year]],"")</f>
        <v/>
      </c>
      <c r="F36" s="2">
        <f>DVHD!$E$4</f>
        <v>0</v>
      </c>
      <c r="G36" s="2">
        <f>DVHD!$E$4</f>
        <v>0</v>
      </c>
      <c r="H36" s="110">
        <f t="shared" si="7"/>
        <v>0</v>
      </c>
      <c r="I36" s="110">
        <f t="shared" si="7"/>
        <v>0</v>
      </c>
      <c r="J36" s="111">
        <f t="shared" si="8"/>
        <v>0</v>
      </c>
    </row>
    <row r="37" spans="1:10" x14ac:dyDescent="0.25">
      <c r="A37" s="58" t="str">
        <f>DVHD!D43</f>
        <v>Non-Peak Truck</v>
      </c>
      <c r="B37" s="59">
        <f t="shared" si="6"/>
        <v>0</v>
      </c>
      <c r="C37" s="59">
        <f t="shared" si="6"/>
        <v>0</v>
      </c>
      <c r="D37" s="47" t="str">
        <f>IFERROR(Table93435[[#This Row],[No Build Velocity]]/Table93435[[#This Row],[No Build Impacted Length]]/Table93435[[#This Row],[No Build Volume/ Year]],"")</f>
        <v/>
      </c>
      <c r="E37" s="47" t="str">
        <f>IFERROR(Table93435[[#This Row],[No Build Velocity]]/Table93435[[#This Row],[No Build Impacted Length]]/Table93435[[#This Row],[No Build Volume/ Year]],"")</f>
        <v/>
      </c>
      <c r="F37" s="2">
        <f>DVHD!$E$4</f>
        <v>0</v>
      </c>
      <c r="G37" s="2">
        <f>DVHD!$E$4</f>
        <v>0</v>
      </c>
      <c r="H37" s="110">
        <f t="shared" si="7"/>
        <v>0</v>
      </c>
      <c r="I37" s="110">
        <f t="shared" si="7"/>
        <v>0</v>
      </c>
      <c r="J37" s="111">
        <f t="shared" si="8"/>
        <v>0</v>
      </c>
    </row>
    <row r="38" spans="1:10" x14ac:dyDescent="0.25">
      <c r="A38" s="22" t="s">
        <v>12</v>
      </c>
      <c r="B38" s="37">
        <f>SUBTOTAL(109,Table93435[No Build Volume/ Year])</f>
        <v>0</v>
      </c>
      <c r="C38" s="37">
        <f>SUBTOTAL(109,Table93435[Build Volume/ Year])</f>
        <v>0</v>
      </c>
      <c r="D38" s="2"/>
      <c r="E38" s="2"/>
      <c r="F38" s="38"/>
      <c r="G38" s="38"/>
      <c r="H38" s="149">
        <f>SUBTOTAL(109,Table93435[No Build Velocity])</f>
        <v>0</v>
      </c>
      <c r="I38" s="149">
        <f>SUBTOTAL(109,Table93435[Build Velocity])</f>
        <v>0</v>
      </c>
      <c r="J38" s="145">
        <f>SUBTOTAL(109,Table93435[Change])</f>
        <v>0</v>
      </c>
    </row>
  </sheetData>
  <mergeCells count="3">
    <mergeCell ref="A2:J2"/>
    <mergeCell ref="A15:J15"/>
    <mergeCell ref="A28:J28"/>
  </mergeCells>
  <pageMargins left="0.7" right="0.7" top="0.75" bottom="0.75" header="0.3" footer="0.3"/>
  <pageSetup orientation="portrait" verticalDpi="0" r:id="rId1"/>
  <tableParts count="3">
    <tablePart r:id="rId2"/>
    <tablePart r:id="rId3"/>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Instructions</vt:lpstr>
      <vt:lpstr>Performance Metrics</vt:lpstr>
      <vt:lpstr>DVHD</vt:lpstr>
      <vt:lpstr>PHTTS</vt:lpstr>
      <vt:lpstr>Peak Travel Time Reliability</vt:lpstr>
      <vt:lpstr>Level of Transit Delay</vt:lpstr>
      <vt:lpstr>Truck Travel Time Reliability</vt:lpstr>
      <vt:lpstr>Rail Volume</vt:lpstr>
      <vt:lpstr>Rate of Fatalities-Serious Inj</vt:lpstr>
      <vt:lpstr>Air Quality</vt:lpstr>
      <vt:lpstr>Average Annual Volume</vt:lpstr>
      <vt:lpstr>DVMT</vt:lpstr>
      <vt:lpstr>Truck Volume</vt:lpstr>
      <vt:lpstr># of Fatalities and Serious Inj</vt:lpstr>
      <vt:lpstr>Velocity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Wilson, Michael@DOT</dc:creator>
  <cp:lastModifiedBy>Wilson, Michael@DOT</cp:lastModifiedBy>
  <dcterms:created xsi:type="dcterms:W3CDTF">2025-03-12T17:24:59Z</dcterms:created>
  <dcterms:modified xsi:type="dcterms:W3CDTF">2025-09-10T18:34:11Z</dcterms:modified>
</cp:coreProperties>
</file>